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J:\IVH\CPN\Raw data from the pig stable\IAIP - Sepsis 2021\"/>
    </mc:Choice>
  </mc:AlternateContent>
  <xr:revisionPtr revIDLastSave="0" documentId="13_ncr:1_{0EDFC9F7-A291-49D0-A8F1-C24C764785C7}" xr6:coauthVersionLast="47" xr6:coauthVersionMax="47" xr10:uidLastSave="{00000000-0000-0000-0000-000000000000}"/>
  <bookViews>
    <workbookView xWindow="-120" yWindow="-120" windowWidth="19440" windowHeight="15000" firstSheet="2" activeTab="7" xr2:uid="{00000000-000D-0000-FFFF-FFFF00000000}"/>
  </bookViews>
  <sheets>
    <sheet name="Survival and Gross pathology" sheetId="1" r:id="rId1"/>
    <sheet name="Blood Gas" sheetId="10" r:id="rId2"/>
    <sheet name="Hematology" sheetId="8" r:id="rId3"/>
    <sheet name="Brain" sheetId="15" r:id="rId4"/>
    <sheet name="Biochem at 22hr" sheetId="14" r:id="rId5"/>
    <sheet name="ALTAST" sheetId="18" r:id="rId6"/>
    <sheet name="Cytokines" sheetId="16" r:id="rId7"/>
    <sheet name="Bacteriology+Glucose" sheetId="3" r:id="rId8"/>
  </sheets>
  <definedNames>
    <definedName name="_xlnm._FilterDatabase" localSheetId="4" hidden="1">'Biochem at 22hr'!$A$1:$Z$1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7" i="16" l="1"/>
  <c r="K9" i="16"/>
  <c r="K29" i="16"/>
  <c r="K59" i="16"/>
  <c r="K13" i="16"/>
  <c r="K64" i="16"/>
  <c r="K40" i="16"/>
  <c r="K49" i="16"/>
  <c r="K3" i="16"/>
  <c r="K51" i="16"/>
  <c r="K53" i="16"/>
  <c r="K7" i="16"/>
  <c r="K26" i="16"/>
  <c r="K55" i="16"/>
  <c r="K28" i="16"/>
  <c r="K56" i="16"/>
  <c r="K10" i="16"/>
  <c r="K58" i="16"/>
  <c r="K15" i="16"/>
  <c r="K34" i="16"/>
  <c r="K37" i="16"/>
  <c r="K38" i="16"/>
  <c r="K44" i="16"/>
  <c r="K54" i="16"/>
  <c r="K12" i="16"/>
  <c r="K32" i="16"/>
  <c r="K35" i="16"/>
  <c r="K47" i="16"/>
  <c r="K63" i="16"/>
  <c r="K65" i="16"/>
  <c r="K20" i="16"/>
  <c r="K69" i="16"/>
  <c r="K2" i="16"/>
  <c r="K21" i="16"/>
  <c r="K73" i="16"/>
  <c r="K46" i="16"/>
  <c r="K50" i="16"/>
  <c r="K22" i="16"/>
  <c r="K52" i="16"/>
  <c r="K23" i="16"/>
  <c r="K57" i="16"/>
  <c r="K11" i="16"/>
  <c r="K30" i="16"/>
  <c r="K60" i="16"/>
  <c r="K14" i="16"/>
  <c r="K33" i="16"/>
  <c r="K72" i="16"/>
  <c r="K17" i="16"/>
  <c r="K36" i="16"/>
  <c r="K19" i="16"/>
  <c r="K39" i="16"/>
  <c r="K45" i="16"/>
  <c r="K48" i="16"/>
  <c r="K4" i="16"/>
  <c r="K5" i="16"/>
  <c r="K24" i="16"/>
  <c r="K6" i="16"/>
  <c r="K25" i="16"/>
  <c r="K8" i="16"/>
  <c r="K31" i="16"/>
  <c r="K61" i="16"/>
  <c r="K16" i="16"/>
  <c r="K62" i="16"/>
  <c r="K66" i="16"/>
  <c r="K41" i="16"/>
  <c r="K67" i="16"/>
  <c r="K42" i="16"/>
  <c r="K68" i="16"/>
  <c r="K43" i="16"/>
  <c r="K70" i="16"/>
  <c r="K142" i="16"/>
  <c r="K98" i="16"/>
  <c r="K81" i="16"/>
  <c r="K100" i="16"/>
  <c r="K130" i="16"/>
  <c r="K85" i="16"/>
  <c r="K135" i="16"/>
  <c r="K111" i="16"/>
  <c r="K120" i="16"/>
  <c r="K75" i="16"/>
  <c r="K122" i="16"/>
  <c r="K124" i="16"/>
  <c r="K79" i="16"/>
  <c r="K97" i="16"/>
  <c r="K126" i="16"/>
  <c r="K99" i="16"/>
  <c r="K127" i="16"/>
  <c r="K82" i="16"/>
  <c r="K129" i="16"/>
  <c r="K87" i="16"/>
  <c r="K105" i="16"/>
  <c r="K108" i="16"/>
  <c r="K109" i="16"/>
  <c r="K115" i="16"/>
  <c r="K125" i="16"/>
  <c r="K84" i="16"/>
  <c r="K103" i="16"/>
  <c r="K106" i="16"/>
  <c r="K118" i="16"/>
  <c r="K134" i="16"/>
  <c r="K136" i="16"/>
  <c r="K91" i="16"/>
  <c r="K140" i="16"/>
  <c r="K74" i="16"/>
  <c r="K92" i="16"/>
  <c r="K144" i="16"/>
  <c r="K117" i="16"/>
  <c r="K121" i="16"/>
  <c r="K93" i="16"/>
  <c r="K123" i="16"/>
  <c r="K94" i="16"/>
  <c r="K128" i="16"/>
  <c r="K83" i="16"/>
  <c r="K101" i="16"/>
  <c r="K131" i="16"/>
  <c r="K86" i="16"/>
  <c r="K104" i="16"/>
  <c r="K143" i="16"/>
  <c r="K89" i="16"/>
  <c r="K107" i="16"/>
  <c r="K90" i="16"/>
  <c r="K110" i="16"/>
  <c r="K116" i="16"/>
  <c r="K119" i="16"/>
  <c r="K76" i="16"/>
  <c r="K77" i="16"/>
  <c r="K95" i="16"/>
  <c r="K78" i="16"/>
  <c r="K96" i="16"/>
  <c r="K80" i="16"/>
  <c r="K102" i="16"/>
  <c r="K132" i="16"/>
  <c r="K88" i="16"/>
  <c r="K133" i="16"/>
  <c r="K137" i="16"/>
  <c r="K112" i="16"/>
  <c r="K138" i="16"/>
  <c r="K113" i="16"/>
  <c r="K139" i="16"/>
  <c r="K114" i="16"/>
  <c r="K141" i="16"/>
  <c r="K169" i="16"/>
  <c r="K152" i="16"/>
  <c r="K171" i="16"/>
  <c r="K201" i="16"/>
  <c r="K156" i="16"/>
  <c r="K206" i="16"/>
  <c r="K182" i="16"/>
  <c r="K193" i="16"/>
  <c r="K150" i="16"/>
  <c r="K170" i="16"/>
  <c r="K198" i="16"/>
  <c r="K153" i="16"/>
  <c r="K200" i="16"/>
  <c r="K158" i="16"/>
  <c r="K176" i="16"/>
  <c r="K179" i="16"/>
  <c r="K186" i="16"/>
  <c r="K196" i="16"/>
  <c r="K155" i="16"/>
  <c r="K174" i="16"/>
  <c r="K177" i="16"/>
  <c r="K189" i="16"/>
  <c r="K205" i="16"/>
  <c r="K207" i="16"/>
  <c r="K162" i="16"/>
  <c r="K211" i="16"/>
  <c r="K145" i="16"/>
  <c r="K163" i="16"/>
  <c r="K164" i="16"/>
  <c r="K194" i="16"/>
  <c r="K165" i="16"/>
  <c r="K172" i="16"/>
  <c r="K157" i="16"/>
  <c r="K175" i="16"/>
  <c r="K214" i="16"/>
  <c r="K160" i="16"/>
  <c r="K178" i="16"/>
  <c r="K161" i="16"/>
  <c r="K181" i="16"/>
  <c r="K190" i="16"/>
  <c r="K147" i="16"/>
  <c r="K148" i="16"/>
  <c r="K166" i="16"/>
  <c r="K149" i="16"/>
  <c r="K167" i="16"/>
  <c r="K151" i="16"/>
  <c r="K173" i="16"/>
  <c r="K203" i="16"/>
  <c r="K159" i="16"/>
  <c r="K204" i="16"/>
  <c r="K208" i="16"/>
  <c r="K183" i="16"/>
  <c r="K209" i="16"/>
  <c r="K184" i="16"/>
  <c r="K210" i="16"/>
  <c r="K185" i="16"/>
  <c r="K212" i="16"/>
  <c r="K222" i="16"/>
  <c r="K226" i="16"/>
  <c r="K241" i="16"/>
  <c r="K239" i="16"/>
  <c r="K252" i="16"/>
  <c r="K271" i="16"/>
  <c r="K283" i="16"/>
  <c r="K276" i="16"/>
  <c r="K228" i="16"/>
  <c r="K220" i="16"/>
  <c r="K223" i="16"/>
  <c r="K246" i="16"/>
  <c r="K256" i="16"/>
  <c r="K249" i="16"/>
  <c r="K263" i="16"/>
  <c r="K268" i="16"/>
  <c r="K270" i="16"/>
  <c r="K240" i="16"/>
  <c r="K225" i="16"/>
  <c r="K232" i="16"/>
  <c r="K244" i="16"/>
  <c r="K247" i="16"/>
  <c r="K259" i="16"/>
  <c r="K277" i="16"/>
  <c r="K281" i="16"/>
  <c r="K266" i="16"/>
  <c r="K275" i="16"/>
  <c r="K231" i="16"/>
  <c r="K227" i="16"/>
  <c r="K233" i="16"/>
  <c r="K234" i="16"/>
  <c r="K251" i="16"/>
  <c r="K235" i="16"/>
  <c r="K242" i="16"/>
  <c r="K248" i="16"/>
  <c r="K245" i="16"/>
  <c r="K264" i="16"/>
  <c r="K284" i="16"/>
  <c r="K216" i="16"/>
  <c r="K230" i="16"/>
  <c r="K229" i="16"/>
  <c r="K221" i="16"/>
  <c r="K219" i="16"/>
  <c r="K218" i="16"/>
  <c r="K253" i="16"/>
  <c r="K254" i="16"/>
  <c r="K260" i="16"/>
  <c r="K237" i="16"/>
  <c r="K236" i="16"/>
  <c r="K255" i="16"/>
  <c r="K243" i="16"/>
  <c r="K279" i="16"/>
  <c r="K278" i="16"/>
  <c r="K282" i="16"/>
  <c r="K274" i="16"/>
  <c r="K280" i="16"/>
  <c r="K273" i="16"/>
  <c r="K71" i="16"/>
  <c r="A273" i="16" l="1"/>
  <c r="A280" i="16"/>
  <c r="A274" i="16"/>
  <c r="A282" i="16"/>
  <c r="A278" i="16"/>
  <c r="A279" i="16"/>
  <c r="A243" i="16"/>
  <c r="A255" i="16"/>
  <c r="A236" i="16"/>
  <c r="A237" i="16"/>
  <c r="A260" i="16"/>
  <c r="A254" i="16"/>
  <c r="A253" i="16"/>
  <c r="A218" i="16"/>
  <c r="A219" i="16"/>
  <c r="A221" i="16"/>
  <c r="A229" i="16"/>
  <c r="A230" i="16"/>
  <c r="A216" i="16"/>
  <c r="A284" i="16"/>
  <c r="A264" i="16"/>
  <c r="A269" i="16"/>
  <c r="A272" i="16"/>
  <c r="A262" i="16"/>
  <c r="A285" i="16"/>
  <c r="A245" i="16"/>
  <c r="A248" i="16"/>
  <c r="A242" i="16"/>
  <c r="A235" i="16"/>
  <c r="A251" i="16"/>
  <c r="A234" i="16"/>
  <c r="A258" i="16"/>
  <c r="A233" i="16"/>
  <c r="A257" i="16"/>
  <c r="A227" i="16"/>
  <c r="A231" i="16"/>
  <c r="A224" i="16"/>
  <c r="A275" i="16"/>
  <c r="A266" i="16"/>
  <c r="A281" i="16"/>
  <c r="A277" i="16"/>
  <c r="A259" i="16"/>
  <c r="A247" i="16"/>
  <c r="A244" i="16"/>
  <c r="A232" i="16"/>
  <c r="A225" i="16"/>
  <c r="A240" i="16"/>
  <c r="A270" i="16"/>
  <c r="A261" i="16"/>
  <c r="A267" i="16"/>
  <c r="A268" i="16"/>
  <c r="A265" i="16"/>
  <c r="A263" i="16"/>
  <c r="A249" i="16"/>
  <c r="A256" i="16"/>
  <c r="A238" i="16"/>
  <c r="A250" i="16"/>
  <c r="A246" i="16"/>
  <c r="A223" i="16"/>
  <c r="A220" i="16"/>
  <c r="A228" i="16"/>
  <c r="A217" i="16"/>
  <c r="A276" i="16"/>
  <c r="A283" i="16"/>
  <c r="A271" i="16"/>
  <c r="A252" i="16"/>
  <c r="A239" i="16"/>
  <c r="A241" i="16"/>
  <c r="A226" i="16"/>
  <c r="A222" i="16"/>
  <c r="A212" i="16"/>
  <c r="A185" i="16"/>
  <c r="A210" i="16"/>
  <c r="A184" i="16"/>
  <c r="A209" i="16"/>
  <c r="A183" i="16"/>
  <c r="A208" i="16"/>
  <c r="A204" i="16"/>
  <c r="A159" i="16"/>
  <c r="A203" i="16"/>
  <c r="A173" i="16"/>
  <c r="A151" i="16"/>
  <c r="A167" i="16"/>
  <c r="A149" i="16"/>
  <c r="A166" i="16"/>
  <c r="A148" i="16"/>
  <c r="A147" i="16"/>
  <c r="A190" i="16"/>
  <c r="A187" i="16"/>
  <c r="A181" i="16"/>
  <c r="A161" i="16"/>
  <c r="A178" i="16"/>
  <c r="A160" i="16"/>
  <c r="A214" i="16"/>
  <c r="A175" i="16"/>
  <c r="A157" i="16"/>
  <c r="A202" i="16"/>
  <c r="A172" i="16"/>
  <c r="A154" i="16"/>
  <c r="A199" i="16"/>
  <c r="A165" i="16"/>
  <c r="A194" i="16"/>
  <c r="A164" i="16"/>
  <c r="A192" i="16"/>
  <c r="A188" i="16"/>
  <c r="A215" i="16"/>
  <c r="A163" i="16"/>
  <c r="A145" i="16"/>
  <c r="A211" i="16"/>
  <c r="A162" i="16"/>
  <c r="A207" i="16"/>
  <c r="A205" i="16"/>
  <c r="A189" i="16"/>
  <c r="A177" i="16"/>
  <c r="A174" i="16"/>
  <c r="A155" i="16"/>
  <c r="A196" i="16"/>
  <c r="A186" i="16"/>
  <c r="A180" i="16"/>
  <c r="A179" i="16"/>
  <c r="A176" i="16"/>
  <c r="A158" i="16"/>
  <c r="A200" i="16"/>
  <c r="A153" i="16"/>
  <c r="A198" i="16"/>
  <c r="A170" i="16"/>
  <c r="A197" i="16"/>
  <c r="A168" i="16"/>
  <c r="A150" i="16"/>
  <c r="A195" i="16"/>
  <c r="A193" i="16"/>
  <c r="A146" i="16"/>
  <c r="A191" i="16"/>
  <c r="A182" i="16"/>
  <c r="A206" i="16"/>
  <c r="A156" i="16"/>
  <c r="A201" i="16"/>
  <c r="A171" i="16"/>
  <c r="A152" i="16"/>
  <c r="A169" i="16"/>
  <c r="A213" i="16"/>
  <c r="A141" i="16"/>
  <c r="A114" i="16"/>
  <c r="A139" i="16"/>
  <c r="A113" i="16"/>
  <c r="A138" i="16"/>
  <c r="A112" i="16"/>
  <c r="A137" i="16"/>
  <c r="A133" i="16"/>
  <c r="A88" i="16"/>
  <c r="A132" i="16"/>
  <c r="A102" i="16"/>
  <c r="A80" i="16"/>
  <c r="A96" i="16"/>
  <c r="A78" i="16"/>
  <c r="A95" i="16"/>
  <c r="A77" i="16"/>
  <c r="A76" i="16"/>
  <c r="A119" i="16"/>
  <c r="A116" i="16"/>
  <c r="A110" i="16"/>
  <c r="A90" i="16"/>
  <c r="A107" i="16"/>
  <c r="A89" i="16"/>
  <c r="A143" i="16"/>
  <c r="A104" i="16"/>
  <c r="A86" i="16"/>
  <c r="A131" i="16"/>
  <c r="A101" i="16"/>
  <c r="A83" i="16"/>
  <c r="A128" i="16"/>
  <c r="A94" i="16"/>
  <c r="A123" i="16"/>
  <c r="A93" i="16"/>
  <c r="A121" i="16"/>
  <c r="A117" i="16"/>
  <c r="A144" i="16"/>
  <c r="A92" i="16"/>
  <c r="A74" i="16"/>
  <c r="A140" i="16"/>
  <c r="A91" i="16"/>
  <c r="A136" i="16"/>
  <c r="A134" i="16"/>
  <c r="A118" i="16"/>
  <c r="A106" i="16"/>
  <c r="A103" i="16"/>
  <c r="A84" i="16"/>
  <c r="A125" i="16"/>
  <c r="A115" i="16"/>
  <c r="A109" i="16"/>
  <c r="A108" i="16"/>
  <c r="A105" i="16"/>
  <c r="A87" i="16"/>
  <c r="A129" i="16"/>
  <c r="A82" i="16"/>
  <c r="A127" i="16"/>
  <c r="A99" i="16"/>
  <c r="A126" i="16"/>
  <c r="A97" i="16"/>
  <c r="A79" i="16"/>
  <c r="A124" i="16"/>
  <c r="A122" i="16"/>
  <c r="A75" i="16"/>
  <c r="A120" i="16"/>
  <c r="A111" i="16"/>
  <c r="A135" i="16"/>
  <c r="A85" i="16"/>
  <c r="A130" i="16"/>
  <c r="A100" i="16"/>
  <c r="A81" i="16"/>
  <c r="A98" i="16"/>
  <c r="A142" i="16"/>
  <c r="A70" i="16"/>
  <c r="A43" i="16"/>
  <c r="A68" i="16"/>
  <c r="A42" i="16"/>
  <c r="A67" i="16"/>
  <c r="A41" i="16"/>
  <c r="A66" i="16"/>
  <c r="A62" i="16"/>
  <c r="A16" i="16"/>
  <c r="A61" i="16"/>
  <c r="A31" i="16"/>
  <c r="A8" i="16"/>
  <c r="A25" i="16"/>
  <c r="A6" i="16"/>
  <c r="A24" i="16"/>
  <c r="A5" i="16"/>
  <c r="A4" i="16"/>
  <c r="A48" i="16"/>
  <c r="A45" i="16"/>
  <c r="A39" i="16"/>
  <c r="A19" i="16"/>
  <c r="A36" i="16"/>
  <c r="A17" i="16"/>
  <c r="A72" i="16"/>
  <c r="A33" i="16"/>
  <c r="A14" i="16"/>
  <c r="A60" i="16"/>
  <c r="A30" i="16"/>
  <c r="A11" i="16"/>
  <c r="A57" i="16"/>
  <c r="A23" i="16"/>
  <c r="A52" i="16"/>
  <c r="A22" i="16"/>
  <c r="A50" i="16"/>
  <c r="A46" i="16"/>
  <c r="A73" i="16"/>
  <c r="A21" i="16"/>
  <c r="A2" i="16"/>
  <c r="A69" i="16"/>
  <c r="A20" i="16"/>
  <c r="A65" i="16"/>
  <c r="A63" i="16"/>
  <c r="A47" i="16"/>
  <c r="A35" i="16"/>
  <c r="A32" i="16"/>
  <c r="A12" i="16"/>
  <c r="A54" i="16"/>
  <c r="A44" i="16"/>
  <c r="A38" i="16"/>
  <c r="A37" i="16"/>
  <c r="A34" i="16"/>
  <c r="A15" i="16"/>
  <c r="A58" i="16"/>
  <c r="A10" i="16"/>
  <c r="A56" i="16"/>
  <c r="A28" i="16"/>
  <c r="A55" i="16"/>
  <c r="A26" i="16"/>
  <c r="A7" i="16"/>
  <c r="A53" i="16"/>
  <c r="A51" i="16"/>
  <c r="A3" i="16"/>
  <c r="A49" i="16"/>
  <c r="A40" i="16"/>
  <c r="A64" i="16"/>
  <c r="A13" i="16"/>
  <c r="A59" i="16"/>
  <c r="A29" i="16"/>
  <c r="A9" i="16"/>
  <c r="A27" i="16"/>
  <c r="A71" i="16"/>
  <c r="A67" i="14" l="1"/>
  <c r="A71" i="14"/>
  <c r="A69" i="14"/>
  <c r="A72" i="14"/>
  <c r="A68" i="14"/>
  <c r="A70" i="14"/>
  <c r="A62" i="14"/>
  <c r="A65" i="14"/>
  <c r="A64" i="14"/>
  <c r="A63" i="14"/>
  <c r="A60" i="14"/>
  <c r="A61" i="14"/>
  <c r="A66" i="14"/>
  <c r="A59" i="14"/>
  <c r="A57" i="14"/>
  <c r="A58" i="14"/>
  <c r="A56" i="14"/>
  <c r="A55" i="14"/>
  <c r="A49" i="14"/>
  <c r="A53" i="14"/>
  <c r="A51" i="14"/>
  <c r="A52" i="14"/>
  <c r="A54" i="14"/>
  <c r="A50" i="14"/>
  <c r="A44" i="14"/>
  <c r="A41" i="14"/>
  <c r="A42" i="14"/>
  <c r="A45" i="14"/>
  <c r="A40" i="14"/>
  <c r="A47" i="14"/>
  <c r="A46" i="14"/>
  <c r="A48" i="14"/>
  <c r="A43" i="14"/>
  <c r="A39" i="14"/>
  <c r="A38" i="14"/>
  <c r="A37" i="14"/>
  <c r="A36" i="14"/>
  <c r="A35" i="14"/>
  <c r="A32" i="14"/>
  <c r="A31" i="14"/>
  <c r="A34" i="14"/>
  <c r="A33" i="14"/>
  <c r="A30" i="14"/>
  <c r="A29" i="14"/>
  <c r="A28" i="14"/>
  <c r="A27" i="14"/>
  <c r="A26" i="14"/>
  <c r="A24" i="14"/>
  <c r="A23" i="14"/>
  <c r="A20" i="14"/>
  <c r="A21" i="14"/>
  <c r="A25" i="14"/>
  <c r="A22" i="14"/>
  <c r="A16" i="14"/>
  <c r="A14" i="14"/>
  <c r="A15" i="14"/>
  <c r="A17" i="14"/>
  <c r="A19" i="14"/>
  <c r="A18" i="14"/>
  <c r="A13" i="14"/>
  <c r="A12" i="14"/>
  <c r="A11" i="14"/>
  <c r="A10" i="14"/>
  <c r="A8" i="14"/>
  <c r="A9" i="14"/>
  <c r="A7" i="14"/>
  <c r="A6" i="14"/>
  <c r="A4" i="14"/>
  <c r="A5" i="14"/>
  <c r="A3" i="14"/>
  <c r="A2" i="14"/>
  <c r="M63" i="15" l="1"/>
  <c r="M62" i="15"/>
  <c r="M61" i="15"/>
  <c r="M60" i="15"/>
  <c r="M59" i="15"/>
  <c r="M58" i="15"/>
  <c r="M57" i="15"/>
  <c r="M54" i="15"/>
  <c r="M52" i="15"/>
  <c r="M50" i="15"/>
  <c r="M46" i="15"/>
  <c r="M45" i="15"/>
  <c r="M40" i="15"/>
  <c r="M39" i="15"/>
  <c r="I39" i="15"/>
  <c r="I38" i="15"/>
  <c r="M37" i="15"/>
  <c r="I37" i="15"/>
  <c r="M36" i="15"/>
  <c r="I36" i="15"/>
  <c r="M35" i="15"/>
  <c r="I35" i="15"/>
  <c r="M34" i="15"/>
  <c r="I34" i="15"/>
  <c r="M33" i="15"/>
  <c r="I33" i="15"/>
  <c r="M32" i="15"/>
  <c r="I32" i="15"/>
  <c r="M31" i="15"/>
  <c r="I31" i="15"/>
  <c r="M30" i="15"/>
  <c r="I30" i="15"/>
  <c r="M29" i="15"/>
  <c r="I29" i="15"/>
  <c r="I28" i="15"/>
  <c r="I27" i="15"/>
  <c r="I26" i="15"/>
  <c r="M25" i="15"/>
  <c r="I25" i="15"/>
  <c r="M24" i="15"/>
  <c r="I24" i="15"/>
  <c r="I23" i="15"/>
  <c r="I22" i="15"/>
  <c r="I21" i="15"/>
  <c r="I20" i="15"/>
  <c r="M18" i="15"/>
  <c r="I18" i="15"/>
  <c r="M17" i="15"/>
  <c r="I17" i="15"/>
  <c r="I16" i="15"/>
  <c r="I15" i="15"/>
  <c r="I14" i="15"/>
  <c r="M13" i="15"/>
  <c r="I13" i="15"/>
  <c r="I12" i="15"/>
  <c r="I11" i="15"/>
  <c r="I10" i="15"/>
  <c r="I9" i="15"/>
  <c r="I8" i="15"/>
  <c r="I7" i="15"/>
  <c r="I6" i="15"/>
  <c r="I5" i="15"/>
  <c r="I4" i="15"/>
  <c r="I3" i="15"/>
  <c r="I2" i="15"/>
  <c r="A102" i="8" l="1"/>
  <c r="B141" i="3"/>
  <c r="B142" i="3"/>
  <c r="B143" i="3"/>
  <c r="B144" i="3"/>
  <c r="B145" i="3"/>
  <c r="B146" i="3"/>
  <c r="B147" i="3"/>
  <c r="B148" i="3"/>
  <c r="B149" i="3"/>
  <c r="B150" i="3"/>
  <c r="B151" i="3"/>
  <c r="B152" i="3"/>
  <c r="B153" i="3"/>
  <c r="B154" i="3"/>
  <c r="B155" i="3"/>
  <c r="B209" i="3"/>
  <c r="B210" i="3"/>
  <c r="B211" i="3"/>
  <c r="B212" i="3"/>
  <c r="B213" i="3"/>
  <c r="B214" i="3"/>
  <c r="B215" i="3"/>
  <c r="B216" i="3"/>
  <c r="B217" i="3"/>
  <c r="B218" i="3"/>
  <c r="B219" i="3"/>
  <c r="B220" i="3"/>
  <c r="B221" i="3"/>
  <c r="B222" i="3"/>
  <c r="B223" i="3"/>
  <c r="B224" i="3"/>
  <c r="B2" i="3"/>
  <c r="B3" i="3"/>
  <c r="B4" i="3"/>
  <c r="B5" i="3"/>
  <c r="B6" i="3"/>
  <c r="B7" i="3"/>
  <c r="B8" i="3"/>
  <c r="B9" i="3"/>
  <c r="B10" i="3"/>
  <c r="B11" i="3"/>
  <c r="B12" i="3"/>
  <c r="B13" i="3"/>
  <c r="B14" i="3"/>
  <c r="B15" i="3"/>
  <c r="B16" i="3"/>
  <c r="B17" i="3"/>
  <c r="B71" i="3"/>
  <c r="B72" i="3"/>
  <c r="B73" i="3"/>
  <c r="B74" i="3"/>
  <c r="B75" i="3"/>
  <c r="B76" i="3"/>
  <c r="B77" i="3"/>
  <c r="B78" i="3"/>
  <c r="B79" i="3"/>
  <c r="B80" i="3"/>
  <c r="B81" i="3"/>
  <c r="B82" i="3"/>
  <c r="B83" i="3"/>
  <c r="B84" i="3"/>
  <c r="B85" i="3"/>
  <c r="B86" i="3"/>
  <c r="B156" i="3"/>
  <c r="B157" i="3"/>
  <c r="B158" i="3"/>
  <c r="B159" i="3"/>
  <c r="B160" i="3"/>
  <c r="B161" i="3"/>
  <c r="B162" i="3"/>
  <c r="B163" i="3"/>
  <c r="B164" i="3"/>
  <c r="B165" i="3"/>
  <c r="B166" i="3"/>
  <c r="B167" i="3"/>
  <c r="B168" i="3"/>
  <c r="B169" i="3"/>
  <c r="B170" i="3"/>
  <c r="B171" i="3"/>
  <c r="B172" i="3"/>
  <c r="B173" i="3"/>
  <c r="B174" i="3"/>
  <c r="B175" i="3"/>
  <c r="B176" i="3"/>
  <c r="B177" i="3"/>
  <c r="B178" i="3"/>
  <c r="B179" i="3"/>
  <c r="B180" i="3"/>
  <c r="B181" i="3"/>
  <c r="B182" i="3"/>
  <c r="B183" i="3"/>
  <c r="B225" i="3"/>
  <c r="B226" i="3"/>
  <c r="B227" i="3"/>
  <c r="B228" i="3"/>
  <c r="B229" i="3"/>
  <c r="B230" i="3"/>
  <c r="B231" i="3"/>
  <c r="B232" i="3"/>
  <c r="B233" i="3"/>
  <c r="B234" i="3"/>
  <c r="B235" i="3"/>
  <c r="B236" i="3"/>
  <c r="B237" i="3"/>
  <c r="B238" i="3"/>
  <c r="B239" i="3"/>
  <c r="B240" i="3"/>
  <c r="B241" i="3"/>
  <c r="B242" i="3"/>
  <c r="B243" i="3"/>
  <c r="B244" i="3"/>
  <c r="B245" i="3"/>
  <c r="B246" i="3"/>
  <c r="B247" i="3"/>
  <c r="B248" i="3"/>
  <c r="B249" i="3"/>
  <c r="B250" i="3"/>
  <c r="B251" i="3"/>
  <c r="B252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42" i="3"/>
  <c r="B43" i="3"/>
  <c r="B44" i="3"/>
  <c r="B45" i="3"/>
  <c r="B87" i="3"/>
  <c r="B88" i="3"/>
  <c r="B89" i="3"/>
  <c r="B90" i="3"/>
  <c r="B91" i="3"/>
  <c r="B92" i="3"/>
  <c r="B93" i="3"/>
  <c r="B94" i="3"/>
  <c r="B95" i="3"/>
  <c r="B96" i="3"/>
  <c r="B97" i="3"/>
  <c r="B98" i="3"/>
  <c r="B99" i="3"/>
  <c r="B100" i="3"/>
  <c r="B101" i="3"/>
  <c r="B102" i="3"/>
  <c r="B103" i="3"/>
  <c r="B104" i="3"/>
  <c r="B105" i="3"/>
  <c r="B106" i="3"/>
  <c r="B107" i="3"/>
  <c r="B108" i="3"/>
  <c r="B109" i="3"/>
  <c r="B110" i="3"/>
  <c r="B111" i="3"/>
  <c r="B112" i="3"/>
  <c r="B113" i="3"/>
  <c r="B114" i="3"/>
  <c r="B46" i="3"/>
  <c r="B47" i="3"/>
  <c r="B48" i="3"/>
  <c r="B49" i="3"/>
  <c r="B50" i="3"/>
  <c r="B51" i="3"/>
  <c r="B52" i="3"/>
  <c r="B53" i="3"/>
  <c r="B54" i="3"/>
  <c r="B55" i="3"/>
  <c r="B56" i="3"/>
  <c r="B57" i="3"/>
  <c r="B58" i="3"/>
  <c r="B59" i="3"/>
  <c r="B60" i="3"/>
  <c r="B61" i="3"/>
  <c r="B62" i="3"/>
  <c r="B63" i="3"/>
  <c r="B64" i="3"/>
  <c r="B65" i="3"/>
  <c r="B66" i="3"/>
  <c r="B67" i="3"/>
  <c r="B68" i="3"/>
  <c r="B69" i="3"/>
  <c r="B70" i="3"/>
  <c r="B115" i="3"/>
  <c r="B116" i="3"/>
  <c r="B117" i="3"/>
  <c r="B118" i="3"/>
  <c r="B119" i="3"/>
  <c r="B120" i="3"/>
  <c r="B121" i="3"/>
  <c r="B122" i="3"/>
  <c r="B123" i="3"/>
  <c r="B124" i="3"/>
  <c r="B125" i="3"/>
  <c r="B126" i="3"/>
  <c r="B127" i="3"/>
  <c r="B128" i="3"/>
  <c r="B129" i="3"/>
  <c r="B130" i="3"/>
  <c r="B131" i="3"/>
  <c r="B132" i="3"/>
  <c r="B133" i="3"/>
  <c r="B134" i="3"/>
  <c r="B135" i="3"/>
  <c r="B136" i="3"/>
  <c r="B137" i="3"/>
  <c r="B138" i="3"/>
  <c r="B139" i="3"/>
  <c r="B184" i="3"/>
  <c r="B185" i="3"/>
  <c r="B186" i="3"/>
  <c r="B187" i="3"/>
  <c r="B188" i="3"/>
  <c r="B189" i="3"/>
  <c r="B190" i="3"/>
  <c r="B191" i="3"/>
  <c r="B192" i="3"/>
  <c r="B193" i="3"/>
  <c r="B194" i="3"/>
  <c r="B195" i="3"/>
  <c r="B196" i="3"/>
  <c r="B197" i="3"/>
  <c r="B198" i="3"/>
  <c r="B199" i="3"/>
  <c r="B200" i="3"/>
  <c r="B201" i="3"/>
  <c r="B202" i="3"/>
  <c r="B203" i="3"/>
  <c r="B204" i="3"/>
  <c r="B205" i="3"/>
  <c r="B206" i="3"/>
  <c r="B207" i="3"/>
  <c r="B208" i="3"/>
  <c r="B253" i="3"/>
  <c r="B254" i="3"/>
  <c r="B255" i="3"/>
  <c r="B256" i="3"/>
  <c r="B257" i="3"/>
  <c r="B258" i="3"/>
  <c r="B259" i="3"/>
  <c r="B260" i="3"/>
  <c r="B261" i="3"/>
  <c r="B262" i="3"/>
  <c r="B263" i="3"/>
  <c r="B264" i="3"/>
  <c r="B265" i="3"/>
  <c r="B266" i="3"/>
  <c r="B267" i="3"/>
  <c r="B268" i="3"/>
  <c r="B269" i="3"/>
  <c r="B270" i="3"/>
  <c r="B271" i="3"/>
  <c r="B272" i="3"/>
  <c r="B273" i="3"/>
  <c r="B274" i="3"/>
  <c r="B275" i="3"/>
  <c r="B276" i="3"/>
  <c r="B277" i="3"/>
  <c r="B140" i="3"/>
  <c r="I277" i="3" l="1"/>
  <c r="I276" i="3"/>
  <c r="I275" i="3"/>
  <c r="I274" i="3"/>
  <c r="I273" i="3"/>
  <c r="I272" i="3"/>
  <c r="I262" i="3"/>
  <c r="I258" i="3"/>
  <c r="I256" i="3"/>
  <c r="I253" i="3"/>
  <c r="I208" i="3"/>
  <c r="I207" i="3"/>
  <c r="I206" i="3"/>
  <c r="I205" i="3"/>
  <c r="I204" i="3"/>
  <c r="I203" i="3"/>
  <c r="I198" i="3"/>
  <c r="I197" i="3"/>
  <c r="I196" i="3"/>
  <c r="I195" i="3"/>
  <c r="I193" i="3"/>
  <c r="I189" i="3"/>
  <c r="I188" i="3"/>
  <c r="I187" i="3"/>
  <c r="I186" i="3"/>
  <c r="I185" i="3"/>
  <c r="I184" i="3"/>
  <c r="I139" i="3"/>
  <c r="I138" i="3"/>
  <c r="I137" i="3"/>
  <c r="I136" i="3"/>
  <c r="I135" i="3"/>
  <c r="I134" i="3"/>
  <c r="I129" i="3"/>
  <c r="I128" i="3"/>
  <c r="I127" i="3"/>
  <c r="I126" i="3"/>
  <c r="I124" i="3"/>
  <c r="I120" i="3"/>
  <c r="I119" i="3"/>
  <c r="I118" i="3"/>
  <c r="I117" i="3"/>
  <c r="I116" i="3"/>
  <c r="I115" i="3"/>
  <c r="I70" i="3"/>
  <c r="I69" i="3"/>
  <c r="I68" i="3"/>
  <c r="I67" i="3"/>
  <c r="I66" i="3"/>
  <c r="I65" i="3"/>
  <c r="I60" i="3"/>
  <c r="I59" i="3"/>
  <c r="I58" i="3"/>
  <c r="I57" i="3"/>
  <c r="I55" i="3"/>
  <c r="I51" i="3"/>
  <c r="I50" i="3"/>
  <c r="I49" i="3"/>
  <c r="I48" i="3"/>
  <c r="I47" i="3"/>
  <c r="I46" i="3"/>
  <c r="I114" i="3"/>
  <c r="I113" i="3"/>
  <c r="I112" i="3"/>
  <c r="I111" i="3"/>
  <c r="I110" i="3"/>
  <c r="I109" i="3"/>
  <c r="I108" i="3"/>
  <c r="I107" i="3"/>
  <c r="I106" i="3"/>
  <c r="I102" i="3"/>
  <c r="I101" i="3"/>
  <c r="I100" i="3"/>
  <c r="I99" i="3"/>
  <c r="I98" i="3"/>
  <c r="I97" i="3"/>
  <c r="I96" i="3"/>
  <c r="I92" i="3"/>
  <c r="I91" i="3"/>
  <c r="I90" i="3"/>
  <c r="I89" i="3"/>
  <c r="I88" i="3"/>
  <c r="I87" i="3"/>
  <c r="I45" i="3"/>
  <c r="I44" i="3"/>
  <c r="I43" i="3"/>
  <c r="I42" i="3"/>
  <c r="I41" i="3"/>
  <c r="I40" i="3"/>
  <c r="I39" i="3"/>
  <c r="I38" i="3"/>
  <c r="I37" i="3"/>
  <c r="I33" i="3"/>
  <c r="I32" i="3"/>
  <c r="I31" i="3"/>
  <c r="I30" i="3"/>
  <c r="I28" i="3"/>
  <c r="I27" i="3"/>
  <c r="I23" i="3"/>
  <c r="I22" i="3"/>
  <c r="I21" i="3"/>
  <c r="I20" i="3"/>
  <c r="I19" i="3"/>
  <c r="I18" i="3"/>
  <c r="I251" i="3"/>
  <c r="I250" i="3"/>
  <c r="I249" i="3"/>
  <c r="I248" i="3"/>
  <c r="I247" i="3"/>
  <c r="I246" i="3"/>
  <c r="I240" i="3"/>
  <c r="I239" i="3"/>
  <c r="I238" i="3"/>
  <c r="I237" i="3"/>
  <c r="I236" i="3"/>
  <c r="I234" i="3"/>
  <c r="I230" i="3"/>
  <c r="I228" i="3"/>
  <c r="I183" i="3"/>
  <c r="I182" i="3"/>
  <c r="I180" i="3"/>
  <c r="I179" i="3"/>
  <c r="I178" i="3"/>
  <c r="I177" i="3"/>
  <c r="I176" i="3"/>
  <c r="I175" i="3"/>
  <c r="I171" i="3"/>
  <c r="I170" i="3"/>
  <c r="I169" i="3"/>
  <c r="I168" i="3"/>
  <c r="I167" i="3"/>
  <c r="I166" i="3"/>
  <c r="I165" i="3"/>
  <c r="I161" i="3"/>
  <c r="I160" i="3"/>
  <c r="I159" i="3"/>
  <c r="I158" i="3"/>
  <c r="I156" i="3"/>
  <c r="I86" i="3"/>
  <c r="I85" i="3"/>
  <c r="I84" i="3"/>
  <c r="I83" i="3"/>
  <c r="I80" i="3"/>
  <c r="I79" i="3"/>
  <c r="I78" i="3"/>
  <c r="I77" i="3"/>
  <c r="I74" i="3"/>
  <c r="I73" i="3"/>
  <c r="I72" i="3"/>
  <c r="I71" i="3"/>
  <c r="I16" i="3"/>
  <c r="I15" i="3"/>
  <c r="I14" i="3"/>
  <c r="I11" i="3"/>
  <c r="I10" i="3"/>
  <c r="I9" i="3"/>
  <c r="I8" i="3"/>
  <c r="I5" i="3"/>
  <c r="I4" i="3"/>
  <c r="I3" i="3"/>
  <c r="I2" i="3"/>
  <c r="I224" i="3"/>
  <c r="I222" i="3"/>
  <c r="I218" i="3"/>
  <c r="I217" i="3"/>
  <c r="I216" i="3"/>
  <c r="I215" i="3"/>
  <c r="I211" i="3"/>
  <c r="I210" i="3"/>
  <c r="I155" i="3"/>
  <c r="I153" i="3"/>
  <c r="I152" i="3"/>
  <c r="I149" i="3"/>
  <c r="I148" i="3"/>
  <c r="I147" i="3"/>
  <c r="I146" i="3"/>
  <c r="I143" i="3"/>
  <c r="I142" i="3"/>
  <c r="I141" i="3"/>
  <c r="I140" i="3"/>
  <c r="A3" i="1" l="1"/>
  <c r="A4" i="1"/>
  <c r="A12" i="1"/>
  <c r="A9" i="1"/>
  <c r="A11" i="1"/>
  <c r="A7" i="1"/>
  <c r="A5" i="1"/>
  <c r="A19" i="1"/>
  <c r="A13" i="1"/>
  <c r="A14" i="1"/>
  <c r="A10" i="1"/>
  <c r="A8" i="1"/>
  <c r="A17" i="1"/>
  <c r="A15" i="1"/>
  <c r="A6" i="1"/>
  <c r="A18" i="1"/>
  <c r="A16" i="1"/>
  <c r="A29" i="1"/>
  <c r="A47" i="1"/>
  <c r="A37" i="1"/>
  <c r="A31" i="1"/>
  <c r="A28" i="1"/>
  <c r="A45" i="1"/>
  <c r="A24" i="1"/>
  <c r="A43" i="1"/>
  <c r="A34" i="1"/>
  <c r="A26" i="1"/>
  <c r="A38" i="1"/>
  <c r="A23" i="1"/>
  <c r="A36" i="1"/>
  <c r="A46" i="1"/>
  <c r="A39" i="1"/>
  <c r="A44" i="1"/>
  <c r="A40" i="1"/>
  <c r="A27" i="1"/>
  <c r="A20" i="1"/>
  <c r="A35" i="1"/>
  <c r="A41" i="1"/>
  <c r="A25" i="1"/>
  <c r="A22" i="1"/>
  <c r="A21" i="1"/>
  <c r="A42" i="1"/>
  <c r="A33" i="1"/>
  <c r="A32" i="1"/>
  <c r="A30" i="1"/>
  <c r="A51" i="1"/>
  <c r="A66" i="1"/>
  <c r="A52" i="1"/>
  <c r="A64" i="1"/>
  <c r="A58" i="1"/>
  <c r="A72" i="1"/>
  <c r="A61" i="1"/>
  <c r="A57" i="1"/>
  <c r="A68" i="1"/>
  <c r="A70" i="1"/>
  <c r="A59" i="1"/>
  <c r="A69" i="1"/>
  <c r="A50" i="1"/>
  <c r="A53" i="1"/>
  <c r="A63" i="1"/>
  <c r="A56" i="1"/>
  <c r="A65" i="1"/>
  <c r="A48" i="1"/>
  <c r="A62" i="1"/>
  <c r="A71" i="1"/>
  <c r="A67" i="1"/>
  <c r="A54" i="1"/>
  <c r="A49" i="1"/>
  <c r="A60" i="1"/>
  <c r="A55" i="1"/>
  <c r="A2" i="1"/>
  <c r="J65" i="1" l="1"/>
  <c r="J50" i="1"/>
  <c r="J66" i="1"/>
  <c r="J52" i="1"/>
  <c r="J64" i="1"/>
  <c r="J58" i="1"/>
  <c r="J72" i="1"/>
  <c r="J61" i="1"/>
  <c r="J57" i="1"/>
  <c r="J68" i="1"/>
  <c r="J70" i="1"/>
  <c r="J59" i="1"/>
  <c r="J69" i="1"/>
  <c r="J53" i="1"/>
  <c r="J63" i="1"/>
  <c r="J56" i="1"/>
  <c r="J48" i="1"/>
  <c r="J62" i="1"/>
  <c r="J71" i="1"/>
  <c r="J67" i="1"/>
  <c r="J54" i="1"/>
  <c r="J49" i="1"/>
  <c r="J60" i="1"/>
  <c r="J55" i="1"/>
  <c r="J51" i="1"/>
  <c r="A3" i="8" l="1"/>
  <c r="A4" i="8"/>
  <c r="A12" i="8"/>
  <c r="A9" i="8"/>
  <c r="A11" i="8"/>
  <c r="A7" i="8"/>
  <c r="A5" i="8"/>
  <c r="A20" i="8"/>
  <c r="A13" i="8"/>
  <c r="A14" i="8"/>
  <c r="A10" i="8"/>
  <c r="A8" i="8"/>
  <c r="A17" i="8"/>
  <c r="A15" i="8"/>
  <c r="A6" i="8"/>
  <c r="A19" i="8"/>
  <c r="A16" i="8"/>
  <c r="A74" i="8"/>
  <c r="A75" i="8"/>
  <c r="A76" i="8"/>
  <c r="A85" i="8"/>
  <c r="A82" i="8"/>
  <c r="A84" i="8"/>
  <c r="A80" i="8"/>
  <c r="A78" i="8"/>
  <c r="A93" i="8"/>
  <c r="A86" i="8"/>
  <c r="A87" i="8"/>
  <c r="A83" i="8"/>
  <c r="A81" i="8"/>
  <c r="A90" i="8"/>
  <c r="A88" i="8"/>
  <c r="A79" i="8"/>
  <c r="A92" i="8"/>
  <c r="A89" i="8"/>
  <c r="A147" i="8"/>
  <c r="A148" i="8"/>
  <c r="A149" i="8"/>
  <c r="A157" i="8"/>
  <c r="A154" i="8"/>
  <c r="A156" i="8"/>
  <c r="A152" i="8"/>
  <c r="A150" i="8"/>
  <c r="A165" i="8"/>
  <c r="A158" i="8"/>
  <c r="A159" i="8"/>
  <c r="A155" i="8"/>
  <c r="A153" i="8"/>
  <c r="A162" i="8"/>
  <c r="A160" i="8"/>
  <c r="A151" i="8"/>
  <c r="A164" i="8"/>
  <c r="A161" i="8"/>
  <c r="A219" i="8"/>
  <c r="A220" i="8"/>
  <c r="A221" i="8"/>
  <c r="A229" i="8"/>
  <c r="A226" i="8"/>
  <c r="A228" i="8"/>
  <c r="A224" i="8"/>
  <c r="A222" i="8"/>
  <c r="A237" i="8"/>
  <c r="A230" i="8"/>
  <c r="A231" i="8"/>
  <c r="A227" i="8"/>
  <c r="A225" i="8"/>
  <c r="A234" i="8"/>
  <c r="A232" i="8"/>
  <c r="A223" i="8"/>
  <c r="A236" i="8"/>
  <c r="A233" i="8"/>
  <c r="A30" i="8"/>
  <c r="A48" i="8"/>
  <c r="A38" i="8"/>
  <c r="A32" i="8"/>
  <c r="A29" i="8"/>
  <c r="A46" i="8"/>
  <c r="A25" i="8"/>
  <c r="A44" i="8"/>
  <c r="A35" i="8"/>
  <c r="A27" i="8"/>
  <c r="A39" i="8"/>
  <c r="A24" i="8"/>
  <c r="A37" i="8"/>
  <c r="A47" i="8"/>
  <c r="A40" i="8"/>
  <c r="A45" i="8"/>
  <c r="A41" i="8"/>
  <c r="A28" i="8"/>
  <c r="A21" i="8"/>
  <c r="A36" i="8"/>
  <c r="A42" i="8"/>
  <c r="A26" i="8"/>
  <c r="A23" i="8"/>
  <c r="A22" i="8"/>
  <c r="A43" i="8"/>
  <c r="A34" i="8"/>
  <c r="A33" i="8"/>
  <c r="A31" i="8"/>
  <c r="A103" i="8"/>
  <c r="A121" i="8"/>
  <c r="A111" i="8"/>
  <c r="A105" i="8"/>
  <c r="A119" i="8"/>
  <c r="A98" i="8"/>
  <c r="A117" i="8"/>
  <c r="A108" i="8"/>
  <c r="A100" i="8"/>
  <c r="A112" i="8"/>
  <c r="A97" i="8"/>
  <c r="A110" i="8"/>
  <c r="A120" i="8"/>
  <c r="A113" i="8"/>
  <c r="A118" i="8"/>
  <c r="A114" i="8"/>
  <c r="A101" i="8"/>
  <c r="A94" i="8"/>
  <c r="A109" i="8"/>
  <c r="A115" i="8"/>
  <c r="A99" i="8"/>
  <c r="A96" i="8"/>
  <c r="A95" i="8"/>
  <c r="A116" i="8"/>
  <c r="A107" i="8"/>
  <c r="A106" i="8"/>
  <c r="A104" i="8"/>
  <c r="A175" i="8"/>
  <c r="A193" i="8"/>
  <c r="A183" i="8"/>
  <c r="A177" i="8"/>
  <c r="A174" i="8"/>
  <c r="A191" i="8"/>
  <c r="A170" i="8"/>
  <c r="A189" i="8"/>
  <c r="A180" i="8"/>
  <c r="A172" i="8"/>
  <c r="A184" i="8"/>
  <c r="A169" i="8"/>
  <c r="A182" i="8"/>
  <c r="A192" i="8"/>
  <c r="A185" i="8"/>
  <c r="A190" i="8"/>
  <c r="A186" i="8"/>
  <c r="A173" i="8"/>
  <c r="A166" i="8"/>
  <c r="A181" i="8"/>
  <c r="A187" i="8"/>
  <c r="A171" i="8"/>
  <c r="A168" i="8"/>
  <c r="A167" i="8"/>
  <c r="A188" i="8"/>
  <c r="A179" i="8"/>
  <c r="A178" i="8"/>
  <c r="A176" i="8"/>
  <c r="A247" i="8"/>
  <c r="A265" i="8"/>
  <c r="A255" i="8"/>
  <c r="A249" i="8"/>
  <c r="A246" i="8"/>
  <c r="A263" i="8"/>
  <c r="A242" i="8"/>
  <c r="A261" i="8"/>
  <c r="A252" i="8"/>
  <c r="A244" i="8"/>
  <c r="A256" i="8"/>
  <c r="A241" i="8"/>
  <c r="A254" i="8"/>
  <c r="A264" i="8"/>
  <c r="A257" i="8"/>
  <c r="A262" i="8"/>
  <c r="A258" i="8"/>
  <c r="A245" i="8"/>
  <c r="A238" i="8"/>
  <c r="A253" i="8"/>
  <c r="A259" i="8"/>
  <c r="A243" i="8"/>
  <c r="A240" i="8"/>
  <c r="A239" i="8"/>
  <c r="A260" i="8"/>
  <c r="A251" i="8"/>
  <c r="A250" i="8"/>
  <c r="A248" i="8"/>
  <c r="A2" i="8"/>
  <c r="J30" i="1" l="1"/>
  <c r="J32" i="1"/>
  <c r="J33" i="1"/>
  <c r="J42" i="1"/>
  <c r="J21" i="1"/>
  <c r="J22" i="1"/>
  <c r="J25" i="1"/>
  <c r="J41" i="1"/>
  <c r="J35" i="1"/>
  <c r="J20" i="1"/>
  <c r="J37" i="1"/>
  <c r="J31" i="1"/>
  <c r="J28" i="1"/>
  <c r="J45" i="1"/>
  <c r="J24" i="1"/>
  <c r="J43" i="1"/>
  <c r="J34" i="1"/>
  <c r="J26" i="1"/>
  <c r="J38" i="1"/>
  <c r="J23" i="1"/>
  <c r="J36" i="1"/>
  <c r="J46" i="1"/>
  <c r="J39" i="1"/>
  <c r="J44" i="1"/>
  <c r="J40" i="1"/>
  <c r="J47" i="1"/>
  <c r="J29" i="1"/>
  <c r="J27" i="1"/>
  <c r="J6" i="1" l="1"/>
  <c r="J18" i="1"/>
  <c r="J16" i="1"/>
  <c r="J15" i="1"/>
  <c r="J13" i="1"/>
  <c r="J14" i="1"/>
  <c r="J10" i="1"/>
  <c r="J8" i="1"/>
  <c r="J19" i="1"/>
  <c r="J12" i="1"/>
  <c r="J9" i="1"/>
  <c r="J11" i="1"/>
  <c r="J7" i="1"/>
  <c r="J4" i="1"/>
  <c r="J3" i="1"/>
  <c r="J5" i="1"/>
  <c r="J17" i="1"/>
  <c r="J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Line Iadsatian Christiansen</author>
  </authors>
  <commentList>
    <comment ref="L3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Line Iadsatian Christiansen:</t>
        </r>
        <r>
          <rPr>
            <sz val="9"/>
            <color indexed="81"/>
            <rFont val="Tahoma"/>
            <family val="2"/>
          </rPr>
          <t xml:space="preserve">
many erythrocytes</t>
        </r>
      </text>
    </comment>
    <comment ref="L45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Line Iadsatian Christiansen:</t>
        </r>
        <r>
          <rPr>
            <sz val="9"/>
            <color indexed="81"/>
            <rFont val="Tahoma"/>
            <family val="2"/>
          </rPr>
          <t xml:space="preserve">
many erythrocytes</t>
        </r>
      </text>
    </comment>
    <comment ref="L47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Line Iadsatian Christiansen:</t>
        </r>
        <r>
          <rPr>
            <sz val="9"/>
            <color indexed="81"/>
            <rFont val="Tahoma"/>
            <family val="2"/>
          </rPr>
          <t xml:space="preserve">
no CSF for cell count</t>
        </r>
      </text>
    </comment>
  </commentList>
</comments>
</file>

<file path=xl/sharedStrings.xml><?xml version="1.0" encoding="utf-8"?>
<sst xmlns="http://schemas.openxmlformats.org/spreadsheetml/2006/main" count="7321" uniqueCount="1565">
  <si>
    <t>Letter</t>
  </si>
  <si>
    <t>Litter</t>
  </si>
  <si>
    <t>Group</t>
  </si>
  <si>
    <t>Time</t>
  </si>
  <si>
    <t>tHb (mmol/L)</t>
  </si>
  <si>
    <t>a/ApO2 (%)</t>
  </si>
  <si>
    <t>Anion gap (K+) (mmol/L)</t>
  </si>
  <si>
    <t>Anion gap (mmol/L)</t>
  </si>
  <si>
    <t>B (kPa)</t>
  </si>
  <si>
    <t>Ca(7.4) (mmol/L)</t>
  </si>
  <si>
    <t>Ca++ (mmol/L)</t>
  </si>
  <si>
    <t>cBase(B) (mmol/L)</t>
  </si>
  <si>
    <t>cBase(Ecf) (mmol/L)</t>
  </si>
  <si>
    <t>Cl- (mmol/L)</t>
  </si>
  <si>
    <t>COHb (%)</t>
  </si>
  <si>
    <t>Glu (mmol/L)</t>
  </si>
  <si>
    <t>HCO3- (mmol/L)</t>
  </si>
  <si>
    <t>Hct (%)</t>
  </si>
  <si>
    <t>K+ (mmol/L)</t>
  </si>
  <si>
    <t>Lac (mmol/L)</t>
  </si>
  <si>
    <t>MetHb (%)</t>
  </si>
  <si>
    <t>Na+ (mmol/L)</t>
  </si>
  <si>
    <t>O2CAP (Vol%)</t>
  </si>
  <si>
    <t>O2Hb (%)</t>
  </si>
  <si>
    <t>p50(act) (kPa)</t>
  </si>
  <si>
    <t>pCO2 (kPa)</t>
  </si>
  <si>
    <t>pH</t>
  </si>
  <si>
    <t>pH(st)</t>
  </si>
  <si>
    <t>pO2 (kPa)</t>
  </si>
  <si>
    <t>pO2(A) (kPa)</t>
  </si>
  <si>
    <t>RHb (%)</t>
  </si>
  <si>
    <t>SBC (mmol/L)</t>
  </si>
  <si>
    <t>sO2 (%)</t>
  </si>
  <si>
    <t>tCO2(B) (Vol%)</t>
  </si>
  <si>
    <t>tCO2(P) (Vol%)</t>
  </si>
  <si>
    <t>tO2 (Vol%)</t>
  </si>
  <si>
    <t>A</t>
  </si>
  <si>
    <t>IAIP</t>
  </si>
  <si>
    <t>A 0H</t>
  </si>
  <si>
    <t>B</t>
  </si>
  <si>
    <t>HIGH-SE</t>
  </si>
  <si>
    <t>B 0H</t>
  </si>
  <si>
    <t>.....</t>
  </si>
  <si>
    <t>C</t>
  </si>
  <si>
    <t>C 0H</t>
  </si>
  <si>
    <t>D</t>
  </si>
  <si>
    <t>D 0H</t>
  </si>
  <si>
    <t>E</t>
  </si>
  <si>
    <t>E 0H</t>
  </si>
  <si>
    <t>F</t>
  </si>
  <si>
    <t>F 0H</t>
  </si>
  <si>
    <t>G</t>
  </si>
  <si>
    <t>G 0H</t>
  </si>
  <si>
    <t>H</t>
  </si>
  <si>
    <t>HIGH-CON</t>
  </si>
  <si>
    <t>H 0H</t>
  </si>
  <si>
    <t>I</t>
  </si>
  <si>
    <t>I 0H</t>
  </si>
  <si>
    <t>L</t>
  </si>
  <si>
    <t>L 0H</t>
  </si>
  <si>
    <t>M</t>
  </si>
  <si>
    <t>M 0H</t>
  </si>
  <si>
    <t>N</t>
  </si>
  <si>
    <t>N 0H</t>
  </si>
  <si>
    <t>O</t>
  </si>
  <si>
    <t>O 0H</t>
  </si>
  <si>
    <t>P</t>
  </si>
  <si>
    <t>P 0H</t>
  </si>
  <si>
    <t>R</t>
  </si>
  <si>
    <t>R 0H</t>
  </si>
  <si>
    <t>S</t>
  </si>
  <si>
    <t>LOW-CON</t>
  </si>
  <si>
    <t>S 0H</t>
  </si>
  <si>
    <t>3H B</t>
  </si>
  <si>
    <t>3H C</t>
  </si>
  <si>
    <t>3H E</t>
  </si>
  <si>
    <t>3H F</t>
  </si>
  <si>
    <t>3H G</t>
  </si>
  <si>
    <t>3H H</t>
  </si>
  <si>
    <t>3H I</t>
  </si>
  <si>
    <t>J</t>
  </si>
  <si>
    <t>3H J</t>
  </si>
  <si>
    <t>K</t>
  </si>
  <si>
    <t>3H K</t>
  </si>
  <si>
    <t>3H L</t>
  </si>
  <si>
    <t>3H M</t>
  </si>
  <si>
    <t>3H N</t>
  </si>
  <si>
    <t>3H O</t>
  </si>
  <si>
    <t>3H P</t>
  </si>
  <si>
    <t>3H R</t>
  </si>
  <si>
    <t>3H S</t>
  </si>
  <si>
    <t>6H B</t>
  </si>
  <si>
    <t>6H C</t>
  </si>
  <si>
    <t>6H E</t>
  </si>
  <si>
    <t>6H F</t>
  </si>
  <si>
    <t>6H G</t>
  </si>
  <si>
    <t>6H H</t>
  </si>
  <si>
    <t>6H I</t>
  </si>
  <si>
    <t>6H J</t>
  </si>
  <si>
    <t>6H K</t>
  </si>
  <si>
    <t>6H L</t>
  </si>
  <si>
    <t>6H M</t>
  </si>
  <si>
    <t>6H N</t>
  </si>
  <si>
    <t>6H O</t>
  </si>
  <si>
    <t>6H P</t>
  </si>
  <si>
    <t>6H R</t>
  </si>
  <si>
    <t>6H S</t>
  </si>
  <si>
    <t>12H B</t>
  </si>
  <si>
    <t>12H C</t>
  </si>
  <si>
    <t>12H E</t>
  </si>
  <si>
    <t>12H F</t>
  </si>
  <si>
    <t>12H G</t>
  </si>
  <si>
    <t>12H H</t>
  </si>
  <si>
    <t>12H I</t>
  </si>
  <si>
    <t>12H J</t>
  </si>
  <si>
    <t>12H K</t>
  </si>
  <si>
    <t>12H L</t>
  </si>
  <si>
    <t>12H M</t>
  </si>
  <si>
    <t>12H N</t>
  </si>
  <si>
    <t>12H O</t>
  </si>
  <si>
    <t>12H R</t>
  </si>
  <si>
    <t>12H S</t>
  </si>
  <si>
    <t>14H J</t>
  </si>
  <si>
    <t>16H B 2</t>
  </si>
  <si>
    <t>18H O</t>
  </si>
  <si>
    <t>20H C</t>
  </si>
  <si>
    <t>20H E</t>
  </si>
  <si>
    <t>20H F</t>
  </si>
  <si>
    <t>20H G</t>
  </si>
  <si>
    <t>20H H</t>
  </si>
  <si>
    <t>20H I</t>
  </si>
  <si>
    <t>20H K</t>
  </si>
  <si>
    <t>20H L</t>
  </si>
  <si>
    <t>20H M</t>
  </si>
  <si>
    <t>20H R</t>
  </si>
  <si>
    <t>20H S</t>
  </si>
  <si>
    <t>J OH</t>
  </si>
  <si>
    <t>K OH</t>
  </si>
  <si>
    <t>ABE (mmol/L)</t>
  </si>
  <si>
    <t>cH+ (nmol/L)</t>
  </si>
  <si>
    <t>mOsm (mmol/kg)</t>
  </si>
  <si>
    <t>SBE (mmol/L)</t>
  </si>
  <si>
    <t>LOW-IAIP</t>
  </si>
  <si>
    <t>0H A</t>
  </si>
  <si>
    <t>18-05-2021 11:36</t>
  </si>
  <si>
    <t>Å</t>
  </si>
  <si>
    <t>LOW-PLACEBO</t>
  </si>
  <si>
    <t>0H AA</t>
  </si>
  <si>
    <t>18-05-2021 09:34</t>
  </si>
  <si>
    <t>0H B</t>
  </si>
  <si>
    <t>18-05-2021 09:30</t>
  </si>
  <si>
    <t>0H D</t>
  </si>
  <si>
    <t>18-05-2021 09:25</t>
  </si>
  <si>
    <t>0H E</t>
  </si>
  <si>
    <t>18-05-2021 09:20</t>
  </si>
  <si>
    <t>0H F</t>
  </si>
  <si>
    <t>18-05-2021 09:13</t>
  </si>
  <si>
    <t>0H G</t>
  </si>
  <si>
    <t>18-05-2021 09:09</t>
  </si>
  <si>
    <t>0H H</t>
  </si>
  <si>
    <t>18-05-2021 09:04</t>
  </si>
  <si>
    <t>0H I</t>
  </si>
  <si>
    <t>18-05-2021 09:01</t>
  </si>
  <si>
    <t>0H J</t>
  </si>
  <si>
    <t>18-05-2021 08:58</t>
  </si>
  <si>
    <t>0H K</t>
  </si>
  <si>
    <t>18-05-2021 08:52</t>
  </si>
  <si>
    <t>0H L</t>
  </si>
  <si>
    <t>18-05-2021 08:47</t>
  </si>
  <si>
    <t>0H M</t>
  </si>
  <si>
    <t>18-05-2021 08:43</t>
  </si>
  <si>
    <t>0H N</t>
  </si>
  <si>
    <t>18-05-2021 08:41</t>
  </si>
  <si>
    <t>0H O</t>
  </si>
  <si>
    <t>18-05-2021 08:38</t>
  </si>
  <si>
    <t>Ø</t>
  </si>
  <si>
    <t>0H OE</t>
  </si>
  <si>
    <t>18-05-2021 08:32</t>
  </si>
  <si>
    <t>0H P</t>
  </si>
  <si>
    <t>18-05-2021 08:29</t>
  </si>
  <si>
    <t>0H Q</t>
  </si>
  <si>
    <t>18-05-2021 08:27</t>
  </si>
  <si>
    <t>0H R</t>
  </si>
  <si>
    <t>18-05-2021 08:24</t>
  </si>
  <si>
    <t>18-05-2021 05:51</t>
  </si>
  <si>
    <t>0H S</t>
  </si>
  <si>
    <t>18-05-2021 03:09</t>
  </si>
  <si>
    <t>0H T</t>
  </si>
  <si>
    <t>0H U</t>
  </si>
  <si>
    <t>0H V</t>
  </si>
  <si>
    <t>18-05-2021 02:46</t>
  </si>
  <si>
    <t>0H X</t>
  </si>
  <si>
    <t>18-05-2021 02:32</t>
  </si>
  <si>
    <t>0H Y</t>
  </si>
  <si>
    <t>18-05-2021 02:13</t>
  </si>
  <si>
    <t>0H Z</t>
  </si>
  <si>
    <t>18-05-2021 02:03</t>
  </si>
  <si>
    <t>12H A</t>
  </si>
  <si>
    <t>18-05-2021 01:59</t>
  </si>
  <si>
    <t>18-05-2021 01:54</t>
  </si>
  <si>
    <t>12H AA</t>
  </si>
  <si>
    <t>18-05-2021 01:50</t>
  </si>
  <si>
    <t>Æ</t>
  </si>
  <si>
    <t>12H AE</t>
  </si>
  <si>
    <t>18-05-2021 01:40</t>
  </si>
  <si>
    <t>18-05-2021 01:36</t>
  </si>
  <si>
    <t>18-05-2021 01:32</t>
  </si>
  <si>
    <t>12H D</t>
  </si>
  <si>
    <t>18-05-2021 01:27</t>
  </si>
  <si>
    <t>18-05-2021 01:21</t>
  </si>
  <si>
    <t>18-05-2021 01:14</t>
  </si>
  <si>
    <t>18-05-2021 01:08</t>
  </si>
  <si>
    <t>18-05-2021 01:04</t>
  </si>
  <si>
    <t>18-05-2021 00:58</t>
  </si>
  <si>
    <t>18-05-2021 00:54</t>
  </si>
  <si>
    <t>18-05-2021 00:51</t>
  </si>
  <si>
    <t>12H N - OUT OF ORDER</t>
  </si>
  <si>
    <t>18-05-2021 00:43</t>
  </si>
  <si>
    <t>18-05-2021 00:39</t>
  </si>
  <si>
    <t>12H OE</t>
  </si>
  <si>
    <t>18-05-2021 00:35</t>
  </si>
  <si>
    <t>12H P</t>
  </si>
  <si>
    <t>18-05-2021 00:29</t>
  </si>
  <si>
    <t>12H Q</t>
  </si>
  <si>
    <t>18-05-2021 00:26</t>
  </si>
  <si>
    <t>18-05-2021 00:25</t>
  </si>
  <si>
    <t>18-05-2021 00:21</t>
  </si>
  <si>
    <t>12H T</t>
  </si>
  <si>
    <t>18-05-2021 00:16</t>
  </si>
  <si>
    <t>12H U</t>
  </si>
  <si>
    <t>18-05-2021 00:12</t>
  </si>
  <si>
    <t>12H V</t>
  </si>
  <si>
    <t>18-05-2021 00:06</t>
  </si>
  <si>
    <t>12H X</t>
  </si>
  <si>
    <t>18-05-2021 00:02</t>
  </si>
  <si>
    <t>12H Y</t>
  </si>
  <si>
    <t>17-05-2021 23:58</t>
  </si>
  <si>
    <t>12H Z</t>
  </si>
  <si>
    <t>17-05-2021 20:13</t>
  </si>
  <si>
    <t>21H AA</t>
  </si>
  <si>
    <t>17-05-2021 20:07</t>
  </si>
  <si>
    <t>21H B</t>
  </si>
  <si>
    <t>17-05-2021 20:02</t>
  </si>
  <si>
    <t>21H C</t>
  </si>
  <si>
    <t>17-05-2021 19:58</t>
  </si>
  <si>
    <t>21H D</t>
  </si>
  <si>
    <t>17-05-2021 19:53</t>
  </si>
  <si>
    <t>21H E</t>
  </si>
  <si>
    <t>17-05-2021 19:50</t>
  </si>
  <si>
    <t>21H G</t>
  </si>
  <si>
    <t>17-05-2021 19:49</t>
  </si>
  <si>
    <t>21H I</t>
  </si>
  <si>
    <t>17-05-2021 19:39</t>
  </si>
  <si>
    <t>21H J</t>
  </si>
  <si>
    <t>17-05-2021 19:35</t>
  </si>
  <si>
    <t>21H K</t>
  </si>
  <si>
    <t>17-05-2021 19:31</t>
  </si>
  <si>
    <t>21H L</t>
  </si>
  <si>
    <t>17-05-2021 19:27</t>
  </si>
  <si>
    <t>21H M</t>
  </si>
  <si>
    <t>17-05-2021 19:17</t>
  </si>
  <si>
    <t>21H O</t>
  </si>
  <si>
    <t>17-05-2021 19:13</t>
  </si>
  <si>
    <t>21H OE</t>
  </si>
  <si>
    <t>17-05-2021 19:07</t>
  </si>
  <si>
    <t>21H P</t>
  </si>
  <si>
    <t>17-05-2021 19:03</t>
  </si>
  <si>
    <t>21H Q</t>
  </si>
  <si>
    <t>17-05-2021 18:57</t>
  </si>
  <si>
    <t>21H S</t>
  </si>
  <si>
    <t>17-05-2021 18:52</t>
  </si>
  <si>
    <t>21H T</t>
  </si>
  <si>
    <t>17-05-2021 18:47</t>
  </si>
  <si>
    <t>21H V</t>
  </si>
  <si>
    <t>17-05-2021 18:42</t>
  </si>
  <si>
    <t>21H X</t>
  </si>
  <si>
    <t>17-05-2021 18:37</t>
  </si>
  <si>
    <t>21H Y</t>
  </si>
  <si>
    <t>17-05-2021 18:32</t>
  </si>
  <si>
    <t>3H A</t>
  </si>
  <si>
    <t>17-05-2021 18:26</t>
  </si>
  <si>
    <t>3H AA</t>
  </si>
  <si>
    <t>17-05-2021 18:21</t>
  </si>
  <si>
    <t>3H AE</t>
  </si>
  <si>
    <t>17-05-2021 18:17</t>
  </si>
  <si>
    <t>17-05-2021 18:12</t>
  </si>
  <si>
    <t>3H D</t>
  </si>
  <si>
    <t>17-05-2021 18:07</t>
  </si>
  <si>
    <t>17-05-2021 18:03</t>
  </si>
  <si>
    <t>17-05-2021 17:58</t>
  </si>
  <si>
    <t>17-05-2021 17:11</t>
  </si>
  <si>
    <t>17-05-2021 17:07</t>
  </si>
  <si>
    <t>17-05-2021 17:02</t>
  </si>
  <si>
    <t>17-05-2021 16:57</t>
  </si>
  <si>
    <t>17-05-2021 16:49</t>
  </si>
  <si>
    <t>17-05-2021 16:41</t>
  </si>
  <si>
    <t>17-05-2021 16:36</t>
  </si>
  <si>
    <t>17-05-2021 16:32</t>
  </si>
  <si>
    <t>3H OE</t>
  </si>
  <si>
    <t>17-05-2021 16:30</t>
  </si>
  <si>
    <t>17-05-2021 16:18</t>
  </si>
  <si>
    <t>3H Q</t>
  </si>
  <si>
    <t>17-05-2021 16:12</t>
  </si>
  <si>
    <t>17-05-2021 16:09</t>
  </si>
  <si>
    <t>17-05-2021 16:03</t>
  </si>
  <si>
    <t>3H T</t>
  </si>
  <si>
    <t>17-05-2021 15:57</t>
  </si>
  <si>
    <t>3H U</t>
  </si>
  <si>
    <t>17-05-2021 15:52</t>
  </si>
  <si>
    <t>3H V</t>
  </si>
  <si>
    <t>17-05-2021 15:47</t>
  </si>
  <si>
    <t>3H X</t>
  </si>
  <si>
    <t>17-05-2021 15:41</t>
  </si>
  <si>
    <t>3H Y</t>
  </si>
  <si>
    <t>17-05-2021 15:36</t>
  </si>
  <si>
    <t>3H Z</t>
  </si>
  <si>
    <t>17-05-2021 15:31</t>
  </si>
  <si>
    <t>6H A</t>
  </si>
  <si>
    <t>17-05-2021 15:27</t>
  </si>
  <si>
    <t>6H AA</t>
  </si>
  <si>
    <t>17-05-2021 15:23</t>
  </si>
  <si>
    <t>6H AE</t>
  </si>
  <si>
    <t>17-05-2021 15:17</t>
  </si>
  <si>
    <t>17-05-2021 15:12</t>
  </si>
  <si>
    <t>17-05-2021 15:07</t>
  </si>
  <si>
    <t>6H D</t>
  </si>
  <si>
    <t>17-05-2021 15:02</t>
  </si>
  <si>
    <t>17-05-2021 14:59</t>
  </si>
  <si>
    <t>17-05-2021 12:43</t>
  </si>
  <si>
    <t>17-05-2021 12:42</t>
  </si>
  <si>
    <t>6H H HEART</t>
  </si>
  <si>
    <t>17-05-2021 12:41</t>
  </si>
  <si>
    <t>17-05-2021 12:40</t>
  </si>
  <si>
    <t>17-05-2021 12:39</t>
  </si>
  <si>
    <t>17-05-2021 12:34</t>
  </si>
  <si>
    <t>17-05-2021 12:32</t>
  </si>
  <si>
    <t>17-05-2021 12:31</t>
  </si>
  <si>
    <t>17-05-2021 12:29</t>
  </si>
  <si>
    <t>17-05-2021 12:28</t>
  </si>
  <si>
    <t>6H OE</t>
  </si>
  <si>
    <t>17-05-2021 12:26</t>
  </si>
  <si>
    <t>17-05-2021 12:25</t>
  </si>
  <si>
    <t>6H Q</t>
  </si>
  <si>
    <t>17-05-2021 12:24</t>
  </si>
  <si>
    <t>17-05-2021 12:22</t>
  </si>
  <si>
    <t>17-05-2021 12:21</t>
  </si>
  <si>
    <t>6H T</t>
  </si>
  <si>
    <t>17-05-2021 12:20</t>
  </si>
  <si>
    <t>6H U</t>
  </si>
  <si>
    <t>17-05-2021 12:17</t>
  </si>
  <si>
    <t>6H V</t>
  </si>
  <si>
    <t>17-05-2021 12:16</t>
  </si>
  <si>
    <t>6H X</t>
  </si>
  <si>
    <t>17-05-2021 12:14</t>
  </si>
  <si>
    <t>6H Y</t>
  </si>
  <si>
    <t>17-05-2021 12:13</t>
  </si>
  <si>
    <t>6H Z</t>
  </si>
  <si>
    <t>17-05-2021 12:12</t>
  </si>
  <si>
    <t>17-05-2021 12:11</t>
  </si>
  <si>
    <t>AE BEFORE KILL</t>
  </si>
  <si>
    <t>17-05-2021 12:10</t>
  </si>
  <si>
    <t>17-05-2021 12:08</t>
  </si>
  <si>
    <t>2.45 BEFORE KILL - F</t>
  </si>
  <si>
    <t>17-05-2021 12:07</t>
  </si>
  <si>
    <t>2.30 BEFORE KILL - R</t>
  </si>
  <si>
    <t>17-05-2021 11:47</t>
  </si>
  <si>
    <t>ID</t>
  </si>
  <si>
    <t>Sex</t>
  </si>
  <si>
    <t>Birth weight (g)</t>
  </si>
  <si>
    <t>Inncoulation time</t>
  </si>
  <si>
    <t>Euthansia time</t>
  </si>
  <si>
    <t xml:space="preserve">Lifespan </t>
  </si>
  <si>
    <t xml:space="preserve">Cause of death </t>
  </si>
  <si>
    <t>Birth complications</t>
  </si>
  <si>
    <t>Died of Sepsis</t>
  </si>
  <si>
    <t>Sepsis</t>
  </si>
  <si>
    <t>Iatrogenic, perforeted catheter</t>
  </si>
  <si>
    <t>Severe atelectasis, mix of bith complications and Sepsis</t>
  </si>
  <si>
    <t>Sepsis, shock, died before euthansia</t>
  </si>
  <si>
    <t>Sepsis + Abdominal bleeding</t>
  </si>
  <si>
    <t>Euthanised on scheduel</t>
  </si>
  <si>
    <t>Lifespan (nearest quarter)</t>
  </si>
  <si>
    <t>f</t>
  </si>
  <si>
    <t>m</t>
  </si>
  <si>
    <t>Y</t>
  </si>
  <si>
    <t>Q</t>
  </si>
  <si>
    <t>T</t>
  </si>
  <si>
    <t>Z</t>
  </si>
  <si>
    <t>U</t>
  </si>
  <si>
    <t>V</t>
  </si>
  <si>
    <t>X</t>
  </si>
  <si>
    <t>Lost cathether, euthanised because it could not receive PN</t>
  </si>
  <si>
    <t>Moved up euthanasia scheduel</t>
  </si>
  <si>
    <t>Skin bleeding</t>
  </si>
  <si>
    <t>Kill nr</t>
  </si>
  <si>
    <t>Liver pathology</t>
  </si>
  <si>
    <t>Spleen pathology</t>
  </si>
  <si>
    <t>Lung pathology</t>
  </si>
  <si>
    <t>Kidney pathology</t>
  </si>
  <si>
    <t>Birthweight</t>
  </si>
  <si>
    <t>Leu</t>
  </si>
  <si>
    <t>RBC</t>
  </si>
  <si>
    <t>Hemoglobin</t>
  </si>
  <si>
    <t>Hematocrit</t>
  </si>
  <si>
    <t>MCH</t>
  </si>
  <si>
    <t>MCHC</t>
  </si>
  <si>
    <t>Platelets</t>
  </si>
  <si>
    <t>MPV</t>
  </si>
  <si>
    <t>MCV</t>
  </si>
  <si>
    <t>MPC</t>
  </si>
  <si>
    <t>Neu%</t>
  </si>
  <si>
    <t>Lymph%</t>
  </si>
  <si>
    <t>Mono%</t>
  </si>
  <si>
    <t>EOS%</t>
  </si>
  <si>
    <t>Baso%</t>
  </si>
  <si>
    <t>LUC%</t>
  </si>
  <si>
    <t>Reticulocyte%</t>
  </si>
  <si>
    <t>Low IAIP</t>
  </si>
  <si>
    <t>High</t>
  </si>
  <si>
    <t>Low</t>
  </si>
  <si>
    <t>Low CON</t>
  </si>
  <si>
    <t>High CON</t>
  </si>
  <si>
    <t>´204</t>
  </si>
  <si>
    <t>26-05-2021 09:11</t>
  </si>
  <si>
    <t>26-05-2021 09:10</t>
  </si>
  <si>
    <t>26-05-2021 09:06</t>
  </si>
  <si>
    <t>21H AE</t>
  </si>
  <si>
    <t>26-05-2021 09:02</t>
  </si>
  <si>
    <t>26-05-2021 09:00</t>
  </si>
  <si>
    <t>26-05-2021 08:51</t>
  </si>
  <si>
    <t>21H R</t>
  </si>
  <si>
    <t>26-05-2021 08:46</t>
  </si>
  <si>
    <t>21H N</t>
  </si>
  <si>
    <t>26-05-2021 08:43</t>
  </si>
  <si>
    <t>26-05-2021 08:39</t>
  </si>
  <si>
    <t>26-05-2021 08:35</t>
  </si>
  <si>
    <t>26-05-2021 08:32</t>
  </si>
  <si>
    <t>&gt; 25</t>
  </si>
  <si>
    <t>26-05-2021 08:30</t>
  </si>
  <si>
    <t>26-05-2021 08:26</t>
  </si>
  <si>
    <t>21H BETA</t>
  </si>
  <si>
    <t>26-05-2021 05:27</t>
  </si>
  <si>
    <t>16.5H I</t>
  </si>
  <si>
    <t>26-05-2021 05:11</t>
  </si>
  <si>
    <t>16,5H L BEFORE KILL</t>
  </si>
  <si>
    <t>26-05-2021 04:52</t>
  </si>
  <si>
    <t>15.5H A</t>
  </si>
  <si>
    <t>26-05-2021 04:27</t>
  </si>
  <si>
    <t>15H ALPHA BEFOREKILL</t>
  </si>
  <si>
    <t>26-05-2021 04:12</t>
  </si>
  <si>
    <t>15H GAMMA</t>
  </si>
  <si>
    <t>26-05-2021 02:27</t>
  </si>
  <si>
    <t>13H AA</t>
  </si>
  <si>
    <t>26-05-2021 01:57</t>
  </si>
  <si>
    <t>26-05-2021 01:53</t>
  </si>
  <si>
    <t>12H H THEN KILL</t>
  </si>
  <si>
    <t>26-05-2021 01:46</t>
  </si>
  <si>
    <t>12H ALPHA</t>
  </si>
  <si>
    <t>26-05-2021 01:41</t>
  </si>
  <si>
    <t>12H GAMMA</t>
  </si>
  <si>
    <t>26-05-2021 01:37</t>
  </si>
  <si>
    <t>26-05-2021 01:32</t>
  </si>
  <si>
    <t>26-05-2021 01:29</t>
  </si>
  <si>
    <t>26-05-2021 01:26</t>
  </si>
  <si>
    <t>13H D BEFORE KILL</t>
  </si>
  <si>
    <t>26-05-2021 01:21</t>
  </si>
  <si>
    <t>26-05-2021 01:13</t>
  </si>
  <si>
    <t>26-05-2021 01:11</t>
  </si>
  <si>
    <t>26-05-2021 01:06</t>
  </si>
  <si>
    <t>26-05-2021 00:53</t>
  </si>
  <si>
    <t>26-05-2021 00:48</t>
  </si>
  <si>
    <t>26-05-2021 00:42</t>
  </si>
  <si>
    <t>26-05-2021 00:38</t>
  </si>
  <si>
    <t>26-05-2021 00:30</t>
  </si>
  <si>
    <t>26-05-2021 00:26</t>
  </si>
  <si>
    <t>26-05-2021 00:23</t>
  </si>
  <si>
    <t>26-05-2021 00:17</t>
  </si>
  <si>
    <t>26-05-2021 00:12</t>
  </si>
  <si>
    <t>26-05-2021 00:07</t>
  </si>
  <si>
    <t>25-05-2021 23:58</t>
  </si>
  <si>
    <t>12H BETA</t>
  </si>
  <si>
    <t>25-05-2021 21:42</t>
  </si>
  <si>
    <t>8H T</t>
  </si>
  <si>
    <t>25-05-2021 21:38</t>
  </si>
  <si>
    <t>B BEFORE KILL 8H</t>
  </si>
  <si>
    <t>25-05-2021 21:33</t>
  </si>
  <si>
    <t>U BEFORE EUTHANASIA</t>
  </si>
  <si>
    <t>25-05-2021 19:55</t>
  </si>
  <si>
    <t>25-05-2021 19:51</t>
  </si>
  <si>
    <t>25-05-2021 19:47</t>
  </si>
  <si>
    <t>6H ALPHA</t>
  </si>
  <si>
    <t>25-05-2021 19:40</t>
  </si>
  <si>
    <t>6H GAMMA</t>
  </si>
  <si>
    <t>25-05-2021 19:34</t>
  </si>
  <si>
    <t>25-05-2021 19:30</t>
  </si>
  <si>
    <t>25-05-2021 19:26</t>
  </si>
  <si>
    <t>25-05-2021 19:21</t>
  </si>
  <si>
    <t>25-05-2021 19:16</t>
  </si>
  <si>
    <t>25-05-2021 19:11</t>
  </si>
  <si>
    <t>25-05-2021 19:07</t>
  </si>
  <si>
    <t>25-05-2021 19:02</t>
  </si>
  <si>
    <t>25-05-2021 18:58</t>
  </si>
  <si>
    <t>25-05-2021 18:51</t>
  </si>
  <si>
    <t>25-05-2021 18:47</t>
  </si>
  <si>
    <t>25-05-2021 18:42</t>
  </si>
  <si>
    <t>25-05-2021 18:36</t>
  </si>
  <si>
    <t>25-05-2021 18:31</t>
  </si>
  <si>
    <t>25-05-2021 18:26</t>
  </si>
  <si>
    <t>25-05-2021 18:21</t>
  </si>
  <si>
    <t>25-05-2021 18:17</t>
  </si>
  <si>
    <t>25-05-2021 18:12</t>
  </si>
  <si>
    <t>25-05-2021 18:08</t>
  </si>
  <si>
    <t>25-05-2021 18:03</t>
  </si>
  <si>
    <t>25-05-2021 18:00</t>
  </si>
  <si>
    <t>6H BETA</t>
  </si>
  <si>
    <t>25-05-2021 16:55</t>
  </si>
  <si>
    <t>25-05-2021 16:50</t>
  </si>
  <si>
    <t>25-05-2021 16:46</t>
  </si>
  <si>
    <t>3H ALPHA</t>
  </si>
  <si>
    <t>25-05-2021 16:41</t>
  </si>
  <si>
    <t>3H GAMMA</t>
  </si>
  <si>
    <t>25-05-2021 16:36</t>
  </si>
  <si>
    <t>25-05-2021 16:30</t>
  </si>
  <si>
    <t>25-05-2021 16:27</t>
  </si>
  <si>
    <t>25-05-2021 16:23</t>
  </si>
  <si>
    <t>25-05-2021 16:20</t>
  </si>
  <si>
    <t>25-05-2021 16:19</t>
  </si>
  <si>
    <t>25-05-2021 16:07</t>
  </si>
  <si>
    <t>25-05-2021 16:02</t>
  </si>
  <si>
    <t>25-05-2021 15:57</t>
  </si>
  <si>
    <t>25-05-2021 15:51</t>
  </si>
  <si>
    <t>25-05-2021 15:46</t>
  </si>
  <si>
    <t>25-05-2021 15:41</t>
  </si>
  <si>
    <t>25-05-2021 15:35</t>
  </si>
  <si>
    <t>25-05-2021 15:31</t>
  </si>
  <si>
    <t>25-05-2021 15:27</t>
  </si>
  <si>
    <t>25-05-2021 15:24</t>
  </si>
  <si>
    <t>25-05-2021 15:17</t>
  </si>
  <si>
    <t>25-05-2021 15:12</t>
  </si>
  <si>
    <t>25-05-2021 15:07</t>
  </si>
  <si>
    <t>25-05-2021 15:02</t>
  </si>
  <si>
    <t>25-05-2021 15:00</t>
  </si>
  <si>
    <t>3H BETA</t>
  </si>
  <si>
    <t>25-05-2021 13:16</t>
  </si>
  <si>
    <t>25-05-2021 13:14</t>
  </si>
  <si>
    <t>25-05-2021 13:11</t>
  </si>
  <si>
    <t>ALPHA 0H</t>
  </si>
  <si>
    <t>25-05-2021 13:08</t>
  </si>
  <si>
    <t>GAMMA 0H</t>
  </si>
  <si>
    <t>25-05-2021 13:06</t>
  </si>
  <si>
    <t>V 0H</t>
  </si>
  <si>
    <t>25-05-2021 13:04</t>
  </si>
  <si>
    <t>OE 0H</t>
  </si>
  <si>
    <t>25-05-2021 13:02</t>
  </si>
  <si>
    <t>25-05-2021 13:00</t>
  </si>
  <si>
    <t>25-05-2021 12:57</t>
  </si>
  <si>
    <t>T 0H</t>
  </si>
  <si>
    <t>25-05-2021 12:55</t>
  </si>
  <si>
    <t>25-05-2021 12:52</t>
  </si>
  <si>
    <t>Q 0H</t>
  </si>
  <si>
    <t>25-05-2021 12:50</t>
  </si>
  <si>
    <t>25-05-2021 12:47</t>
  </si>
  <si>
    <t>25-05-2021 12:45</t>
  </si>
  <si>
    <t>Y 0H</t>
  </si>
  <si>
    <t>25-05-2021 12:43</t>
  </si>
  <si>
    <t>25-05-2021 12:41</t>
  </si>
  <si>
    <t>25-05-2021 12:40</t>
  </si>
  <si>
    <t>AE 0H</t>
  </si>
  <si>
    <t>25-05-2021 12:33</t>
  </si>
  <si>
    <t>X 0H</t>
  </si>
  <si>
    <t>25-05-2021 12:28</t>
  </si>
  <si>
    <t>25-05-2021 12:23</t>
  </si>
  <si>
    <t>25-05-2021 12:20</t>
  </si>
  <si>
    <t>25-05-2021 12:12</t>
  </si>
  <si>
    <t>25-05-2021 12:11</t>
  </si>
  <si>
    <t>25-05-2021 12:07</t>
  </si>
  <si>
    <t>25-05-2021 12:03</t>
  </si>
  <si>
    <t>0H BETA</t>
  </si>
  <si>
    <t>ø</t>
  </si>
  <si>
    <t>Euthanised on scheduel, ph&lt;7.1 at kill</t>
  </si>
  <si>
    <t>Euthanised on scheduel, died of sedation, pH&lt;7.1 at kill</t>
  </si>
  <si>
    <t>Euthanised on scheduel, OBS Severe blood loss before euthanasia due to leaky cathther, disregard blood samples</t>
  </si>
  <si>
    <t>Iatrogenic - Died of blood loss from leaky cathther</t>
  </si>
  <si>
    <t>Euthanised on scheduel, pH&lt;7.1 at kill</t>
  </si>
  <si>
    <t>BETA</t>
  </si>
  <si>
    <t>GAMMA</t>
  </si>
  <si>
    <t>ALPHA</t>
  </si>
  <si>
    <t>SE</t>
  </si>
  <si>
    <t>Killnr</t>
  </si>
  <si>
    <t>Birthweightg</t>
  </si>
  <si>
    <t>HighGlucose</t>
  </si>
  <si>
    <t>Timestamp</t>
  </si>
  <si>
    <t>StandardTime</t>
  </si>
  <si>
    <t>Killsample</t>
  </si>
  <si>
    <t>LaterKillsample</t>
  </si>
  <si>
    <t>PatientID</t>
  </si>
  <si>
    <t>K3</t>
  </si>
  <si>
    <t>0</t>
  </si>
  <si>
    <t>6.3</t>
  </si>
  <si>
    <t>13.4</t>
  </si>
  <si>
    <t>189.4</t>
  </si>
  <si>
    <t>G2</t>
  </si>
  <si>
    <t>11.8</t>
  </si>
  <si>
    <t>11.51</t>
  </si>
  <si>
    <t>37.1</t>
  </si>
  <si>
    <t>Æ3</t>
  </si>
  <si>
    <t>14.9</t>
  </si>
  <si>
    <t>12.81</t>
  </si>
  <si>
    <t>151.4</t>
  </si>
  <si>
    <t>I2</t>
  </si>
  <si>
    <t>16.5</t>
  </si>
  <si>
    <t>11.55</t>
  </si>
  <si>
    <t>45.1</t>
  </si>
  <si>
    <t>Q3</t>
  </si>
  <si>
    <t>133</t>
  </si>
  <si>
    <t>9.960000000000001</t>
  </si>
  <si>
    <t>62.1</t>
  </si>
  <si>
    <t>H1</t>
  </si>
  <si>
    <t xml:space="preserve"> 10/5/2021 12:08</t>
  </si>
  <si>
    <t>14.2</t>
  </si>
  <si>
    <t>12.21</t>
  </si>
  <si>
    <t>57.8</t>
  </si>
  <si>
    <t>T2</t>
  </si>
  <si>
    <t>97</t>
  </si>
  <si>
    <t>10.96</t>
  </si>
  <si>
    <t>81.2</t>
  </si>
  <si>
    <t>L1</t>
  </si>
  <si>
    <t xml:space="preserve"> 10/5/2021 12:13</t>
  </si>
  <si>
    <t>14.7</t>
  </si>
  <si>
    <t>10.5</t>
  </si>
  <si>
    <t>43.8</t>
  </si>
  <si>
    <t>R2</t>
  </si>
  <si>
    <t>27</t>
  </si>
  <si>
    <t>12.26</t>
  </si>
  <si>
    <t>39.3</t>
  </si>
  <si>
    <t>Y2</t>
  </si>
  <si>
    <t>12.4</t>
  </si>
  <si>
    <t>13.14</t>
  </si>
  <si>
    <t>44.4</t>
  </si>
  <si>
    <t>D3</t>
  </si>
  <si>
    <t>22.2</t>
  </si>
  <si>
    <t>11.98</t>
  </si>
  <si>
    <t>47</t>
  </si>
  <si>
    <t>A3</t>
  </si>
  <si>
    <t>88</t>
  </si>
  <si>
    <t>332.2</t>
  </si>
  <si>
    <t>J3</t>
  </si>
  <si>
    <t>51</t>
  </si>
  <si>
    <t>13.33</t>
  </si>
  <si>
    <t>49.1</t>
  </si>
  <si>
    <t>F1</t>
  </si>
  <si>
    <t xml:space="preserve"> 10/5/2021 12:17</t>
  </si>
  <si>
    <t>2.4</t>
  </si>
  <si>
    <t>11.83</t>
  </si>
  <si>
    <t>23.9</t>
  </si>
  <si>
    <t>F2</t>
  </si>
  <si>
    <t>8.699999999999999</t>
  </si>
  <si>
    <t>11.93</t>
  </si>
  <si>
    <t>25.8</t>
  </si>
  <si>
    <t>B3</t>
  </si>
  <si>
    <t>58</t>
  </si>
  <si>
    <t>47.7</t>
  </si>
  <si>
    <t>Q2</t>
  </si>
  <si>
    <t>129</t>
  </si>
  <si>
    <t>8.890000000000001</t>
  </si>
  <si>
    <t>55.6</t>
  </si>
  <si>
    <t>H3</t>
  </si>
  <si>
    <t>13.7</t>
  </si>
  <si>
    <t>13.35</t>
  </si>
  <si>
    <t>53.3</t>
  </si>
  <si>
    <t>GAMMA3</t>
  </si>
  <si>
    <t>17.3</t>
  </si>
  <si>
    <t>11.44</t>
  </si>
  <si>
    <t>60.1</t>
  </si>
  <si>
    <t>N2</t>
  </si>
  <si>
    <t>5.2</t>
  </si>
  <si>
    <t>11.3</t>
  </si>
  <si>
    <t>52.7</t>
  </si>
  <si>
    <t>N1</t>
  </si>
  <si>
    <t xml:space="preserve"> 10/5/2021 12:14</t>
  </si>
  <si>
    <t>11.17</t>
  </si>
  <si>
    <t>328.5</t>
  </si>
  <si>
    <t>H2</t>
  </si>
  <si>
    <t>24.7</t>
  </si>
  <si>
    <t>12.86</t>
  </si>
  <si>
    <t>53.4</t>
  </si>
  <si>
    <t>B1</t>
  </si>
  <si>
    <t xml:space="preserve"> 10/5/2021 11:57</t>
  </si>
  <si>
    <t>143</t>
  </si>
  <si>
    <t>8.44</t>
  </si>
  <si>
    <t>198.2</t>
  </si>
  <si>
    <t>I1</t>
  </si>
  <si>
    <t>83</t>
  </si>
  <si>
    <t>10.45</t>
  </si>
  <si>
    <t>204.1</t>
  </si>
  <si>
    <t>L2</t>
  </si>
  <si>
    <t>2.3</t>
  </si>
  <si>
    <t>12.67</t>
  </si>
  <si>
    <t>35.4</t>
  </si>
  <si>
    <t>P3</t>
  </si>
  <si>
    <t>15</t>
  </si>
  <si>
    <t>12.16</t>
  </si>
  <si>
    <t>75.8</t>
  </si>
  <si>
    <t>X3</t>
  </si>
  <si>
    <t>30</t>
  </si>
  <si>
    <t>12.41</t>
  </si>
  <si>
    <t>71.40000000000001</t>
  </si>
  <si>
    <t>G3</t>
  </si>
  <si>
    <t>8.300000000000001</t>
  </si>
  <si>
    <t>11.47</t>
  </si>
  <si>
    <t>171.1</t>
  </si>
  <si>
    <t>K1</t>
  </si>
  <si>
    <t xml:space="preserve"> 10/5/2021 12:11</t>
  </si>
  <si>
    <t>16.4</t>
  </si>
  <si>
    <t>9.300000000000001</t>
  </si>
  <si>
    <t>42.4</t>
  </si>
  <si>
    <t>S1</t>
  </si>
  <si>
    <t xml:space="preserve"> 10/5/2021 12:23</t>
  </si>
  <si>
    <t>10.8</t>
  </si>
  <si>
    <t>122.9</t>
  </si>
  <si>
    <t>R3</t>
  </si>
  <si>
    <t>3</t>
  </si>
  <si>
    <t>13.49</t>
  </si>
  <si>
    <t>278.5</t>
  </si>
  <si>
    <t>Ø2</t>
  </si>
  <si>
    <t>21.5</t>
  </si>
  <si>
    <t>118.8</t>
  </si>
  <si>
    <t>O2</t>
  </si>
  <si>
    <t>3.2</t>
  </si>
  <si>
    <t>12.43</t>
  </si>
  <si>
    <t>25.7</t>
  </si>
  <si>
    <t>BETA3</t>
  </si>
  <si>
    <t>14.17</t>
  </si>
  <si>
    <t>137.6</t>
  </si>
  <si>
    <t>J1</t>
  </si>
  <si>
    <t xml:space="preserve"> 10/5/2021 12:10</t>
  </si>
  <si>
    <t>6.4</t>
  </si>
  <si>
    <t>10.98</t>
  </si>
  <si>
    <t>60.3</t>
  </si>
  <si>
    <t>P1</t>
  </si>
  <si>
    <t xml:space="preserve"> 10/5/2021 12:20</t>
  </si>
  <si>
    <t>10.4</t>
  </si>
  <si>
    <t>11.27</t>
  </si>
  <si>
    <t>39.2</t>
  </si>
  <si>
    <t>A2</t>
  </si>
  <si>
    <t>10.1</t>
  </si>
  <si>
    <t>11.75</t>
  </si>
  <si>
    <t>34</t>
  </si>
  <si>
    <t>P2</t>
  </si>
  <si>
    <t>2.7</t>
  </si>
  <si>
    <t>27.2</t>
  </si>
  <si>
    <t>ALPHA3</t>
  </si>
  <si>
    <t>4.2</t>
  </si>
  <si>
    <t>11.35</t>
  </si>
  <si>
    <t>59.2</t>
  </si>
  <si>
    <t>L3</t>
  </si>
  <si>
    <t>3.9</t>
  </si>
  <si>
    <t>12.56</t>
  </si>
  <si>
    <t>56.9</t>
  </si>
  <si>
    <t>Z2</t>
  </si>
  <si>
    <t>16.8</t>
  </si>
  <si>
    <t>12.15</t>
  </si>
  <si>
    <t>98.8</t>
  </si>
  <si>
    <t>Å3</t>
  </si>
  <si>
    <t>7.4</t>
  </si>
  <si>
    <t>13.85</t>
  </si>
  <si>
    <t>62.8</t>
  </si>
  <si>
    <t>I3</t>
  </si>
  <si>
    <t>9.4</t>
  </si>
  <si>
    <t>13.16</t>
  </si>
  <si>
    <t>67.59999999999999</t>
  </si>
  <si>
    <t>M2</t>
  </si>
  <si>
    <t>3.7</t>
  </si>
  <si>
    <t>11.7</t>
  </si>
  <si>
    <t>34.1</t>
  </si>
  <si>
    <t>R1</t>
  </si>
  <si>
    <t>10.9</t>
  </si>
  <si>
    <t>12.02</t>
  </si>
  <si>
    <t>39.7</t>
  </si>
  <si>
    <t>M1</t>
  </si>
  <si>
    <t>3.3</t>
  </si>
  <si>
    <t>63.6</t>
  </si>
  <si>
    <t>B2</t>
  </si>
  <si>
    <t>1.1</t>
  </si>
  <si>
    <t>46.2</t>
  </si>
  <si>
    <t>S2</t>
  </si>
  <si>
    <t>16</t>
  </si>
  <si>
    <t>11.45</t>
  </si>
  <si>
    <t>41.9</t>
  </si>
  <si>
    <t>J2</t>
  </si>
  <si>
    <t>73.7</t>
  </si>
  <si>
    <t>A1</t>
  </si>
  <si>
    <t xml:space="preserve"> 10/5/2021 11:55</t>
  </si>
  <si>
    <t>10.7</t>
  </si>
  <si>
    <t>11.43</t>
  </si>
  <si>
    <t>43.5</t>
  </si>
  <si>
    <t>N3</t>
  </si>
  <si>
    <t>13.84</t>
  </si>
  <si>
    <t>329.1</t>
  </si>
  <si>
    <t>O1</t>
  </si>
  <si>
    <t>5.3</t>
  </si>
  <si>
    <t>O3</t>
  </si>
  <si>
    <t>4.9</t>
  </si>
  <si>
    <t>13.34</t>
  </si>
  <si>
    <t>354</t>
  </si>
  <si>
    <t>C1</t>
  </si>
  <si>
    <t xml:space="preserve"> 10/5/2021 11:58</t>
  </si>
  <si>
    <t>32</t>
  </si>
  <si>
    <t>8.310000000000001</t>
  </si>
  <si>
    <t>128.1</t>
  </si>
  <si>
    <t>D2</t>
  </si>
  <si>
    <t>10.81</t>
  </si>
  <si>
    <t>53.7</t>
  </si>
  <si>
    <t>U3</t>
  </si>
  <si>
    <t>13.2</t>
  </si>
  <si>
    <t>36.5</t>
  </si>
  <si>
    <t>D1</t>
  </si>
  <si>
    <t xml:space="preserve"> 10/5/2021 12:00</t>
  </si>
  <si>
    <t>4.1</t>
  </si>
  <si>
    <t>7.21</t>
  </si>
  <si>
    <t>84.40000000000001</t>
  </si>
  <si>
    <t>7.5</t>
  </si>
  <si>
    <t>12.66</t>
  </si>
  <si>
    <t>45</t>
  </si>
  <si>
    <t>V2</t>
  </si>
  <si>
    <t>7.2</t>
  </si>
  <si>
    <t>12.36</t>
  </si>
  <si>
    <t>29.3</t>
  </si>
  <si>
    <t>X2</t>
  </si>
  <si>
    <t>1.2</t>
  </si>
  <si>
    <t>11.78</t>
  </si>
  <si>
    <t>48.8</t>
  </si>
  <si>
    <t>E2</t>
  </si>
  <si>
    <t>12.51</t>
  </si>
  <si>
    <t>34.5</t>
  </si>
  <si>
    <t>U2</t>
  </si>
  <si>
    <t>5.5</t>
  </si>
  <si>
    <t>E1</t>
  </si>
  <si>
    <t xml:space="preserve"> 10/5/2021 12:01</t>
  </si>
  <si>
    <t>11.4</t>
  </si>
  <si>
    <t>10.22</t>
  </si>
  <si>
    <t>70.59999999999999</t>
  </si>
  <si>
    <t>G1</t>
  </si>
  <si>
    <t xml:space="preserve"> 10/5/2021 12:04</t>
  </si>
  <si>
    <t>4.5</t>
  </si>
  <si>
    <t>10.95</t>
  </si>
  <si>
    <t>63.7</t>
  </si>
  <si>
    <t>K2</t>
  </si>
  <si>
    <t>4</t>
  </si>
  <si>
    <t>11.31</t>
  </si>
  <si>
    <t>67.40000000000001</t>
  </si>
  <si>
    <t>Å2</t>
  </si>
  <si>
    <t>7.8</t>
  </si>
  <si>
    <t>8.42</t>
  </si>
  <si>
    <t>33.7</t>
  </si>
  <si>
    <t>T3</t>
  </si>
  <si>
    <t>12.23</t>
  </si>
  <si>
    <t>315.3</t>
  </si>
  <si>
    <t>Y3</t>
  </si>
  <si>
    <t>13.62</t>
  </si>
  <si>
    <t>78.09999999999999</t>
  </si>
  <si>
    <t>V3</t>
  </si>
  <si>
    <t>4.7</t>
  </si>
  <si>
    <t>14.36</t>
  </si>
  <si>
    <t>219.9</t>
  </si>
  <si>
    <t>12</t>
  </si>
  <si>
    <t>20.8</t>
  </si>
  <si>
    <t>238</t>
  </si>
  <si>
    <t>37</t>
  </si>
  <si>
    <t>13.9</t>
  </si>
  <si>
    <t>86.90000000000001</t>
  </si>
  <si>
    <t>26</t>
  </si>
  <si>
    <t>14.29</t>
  </si>
  <si>
    <t>42.8</t>
  </si>
  <si>
    <t xml:space="preserve"> 11/5/2021 12:30</t>
  </si>
  <si>
    <t>12.95</t>
  </si>
  <si>
    <t>30.4</t>
  </si>
  <si>
    <t>14.4</t>
  </si>
  <si>
    <t>77.40000000000001</t>
  </si>
  <si>
    <t xml:space="preserve"> 11/5/2021 12:11</t>
  </si>
  <si>
    <t>14.44</t>
  </si>
  <si>
    <t>34.8</t>
  </si>
  <si>
    <t>18.9</t>
  </si>
  <si>
    <t>14.55</t>
  </si>
  <si>
    <t>183.7</t>
  </si>
  <si>
    <t>40</t>
  </si>
  <si>
    <t>15.22</t>
  </si>
  <si>
    <t>161.8</t>
  </si>
  <si>
    <t>33</t>
  </si>
  <si>
    <t>7.86</t>
  </si>
  <si>
    <t>93.90000000000001</t>
  </si>
  <si>
    <t>10.6</t>
  </si>
  <si>
    <t>12.44</t>
  </si>
  <si>
    <t>41.3</t>
  </si>
  <si>
    <t xml:space="preserve"> 11/5/2021 12:22</t>
  </si>
  <si>
    <t>7.09</t>
  </si>
  <si>
    <t>52</t>
  </si>
  <si>
    <t>12.78</t>
  </si>
  <si>
    <t>22.4</t>
  </si>
  <si>
    <t>4.77</t>
  </si>
  <si>
    <t>108.8</t>
  </si>
  <si>
    <t>12.19</t>
  </si>
  <si>
    <t>19.6</t>
  </si>
  <si>
    <t>13</t>
  </si>
  <si>
    <t>7.72</t>
  </si>
  <si>
    <t>42.7</t>
  </si>
  <si>
    <t>29</t>
  </si>
  <si>
    <t>9.050000000000001</t>
  </si>
  <si>
    <t>67.2</t>
  </si>
  <si>
    <t>31</t>
  </si>
  <si>
    <t xml:space="preserve"> 11/5/2021 12:40</t>
  </si>
  <si>
    <t>16.6</t>
  </si>
  <si>
    <t>11.53</t>
  </si>
  <si>
    <t>47.1</t>
  </si>
  <si>
    <t>8.800000000000001</t>
  </si>
  <si>
    <t>25.5</t>
  </si>
  <si>
    <t xml:space="preserve"> 11/5/2021 12:58</t>
  </si>
  <si>
    <t>28</t>
  </si>
  <si>
    <t>7.79</t>
  </si>
  <si>
    <t>148.3</t>
  </si>
  <si>
    <t>10.3</t>
  </si>
  <si>
    <t>12.88</t>
  </si>
  <si>
    <t>43.4</t>
  </si>
  <si>
    <t>79</t>
  </si>
  <si>
    <t>10.05</t>
  </si>
  <si>
    <t xml:space="preserve"> 11/5/2021 12:27</t>
  </si>
  <si>
    <t>5.4</t>
  </si>
  <si>
    <t>13.66</t>
  </si>
  <si>
    <t>60.6</t>
  </si>
  <si>
    <t>6.8</t>
  </si>
  <si>
    <t>243.4</t>
  </si>
  <si>
    <t>14.85</t>
  </si>
  <si>
    <t>185.2</t>
  </si>
  <si>
    <t>49.6</t>
  </si>
  <si>
    <t xml:space="preserve"> 11/5/2021 12:07</t>
  </si>
  <si>
    <t>6.5</t>
  </si>
  <si>
    <t>15.09</t>
  </si>
  <si>
    <t>73.90000000000001</t>
  </si>
  <si>
    <t>15.02</t>
  </si>
  <si>
    <t>48.3</t>
  </si>
  <si>
    <t>4.3</t>
  </si>
  <si>
    <t>14.74</t>
  </si>
  <si>
    <t>82.3</t>
  </si>
  <si>
    <t>14.11</t>
  </si>
  <si>
    <t>221.5</t>
  </si>
  <si>
    <t>15.56</t>
  </si>
  <si>
    <t>255</t>
  </si>
  <si>
    <t xml:space="preserve"> 11/5/2021 12:17</t>
  </si>
  <si>
    <t>9.130000000000001</t>
  </si>
  <si>
    <t>153.9</t>
  </si>
  <si>
    <t>2.5</t>
  </si>
  <si>
    <t>9.279999999999999</t>
  </si>
  <si>
    <t>10.65</t>
  </si>
  <si>
    <t>55.4</t>
  </si>
  <si>
    <t>1.8</t>
  </si>
  <si>
    <t>57.7</t>
  </si>
  <si>
    <t>4.4</t>
  </si>
  <si>
    <t>10.94</t>
  </si>
  <si>
    <t>296.9</t>
  </si>
  <si>
    <t>Æ2</t>
  </si>
  <si>
    <t>5.9</t>
  </si>
  <si>
    <t>10.64</t>
  </si>
  <si>
    <t>21.6</t>
  </si>
  <si>
    <t>3.1</t>
  </si>
  <si>
    <t>13.25</t>
  </si>
  <si>
    <t>33.5</t>
  </si>
  <si>
    <t>2.9</t>
  </si>
  <si>
    <t>10.36</t>
  </si>
  <si>
    <t>4.6</t>
  </si>
  <si>
    <t>150.6</t>
  </si>
  <si>
    <t>2.8</t>
  </si>
  <si>
    <t>8.130000000000001</t>
  </si>
  <si>
    <t>40.3</t>
  </si>
  <si>
    <t xml:space="preserve"> 11/5/2021 12:36</t>
  </si>
  <si>
    <t>3.4</t>
  </si>
  <si>
    <t>9.810000000000001</t>
  </si>
  <si>
    <t>8.710000000000001</t>
  </si>
  <si>
    <t>368</t>
  </si>
  <si>
    <t>Ø3</t>
  </si>
  <si>
    <t>6.9</t>
  </si>
  <si>
    <t>553.2000000000001</t>
  </si>
  <si>
    <t>C2</t>
  </si>
  <si>
    <t>41</t>
  </si>
  <si>
    <t>9.01</t>
  </si>
  <si>
    <t>48</t>
  </si>
  <si>
    <t>10</t>
  </si>
  <si>
    <t>11.65</t>
  </si>
  <si>
    <t>28.4</t>
  </si>
  <si>
    <t>45.5</t>
  </si>
  <si>
    <t>8.970000000000001</t>
  </si>
  <si>
    <t>22.9</t>
  </si>
  <si>
    <t xml:space="preserve">  11/5/2021 1:07</t>
  </si>
  <si>
    <t>21.3</t>
  </si>
  <si>
    <t>12.69</t>
  </si>
  <si>
    <t>30.1</t>
  </si>
  <si>
    <t>10.46</t>
  </si>
  <si>
    <t>8.1</t>
  </si>
  <si>
    <t>12.49</t>
  </si>
  <si>
    <t>54.8</t>
  </si>
  <si>
    <t>3.8</t>
  </si>
  <si>
    <t>13.69</t>
  </si>
  <si>
    <t>44.3</t>
  </si>
  <si>
    <t>10.2</t>
  </si>
  <si>
    <t>15.18</t>
  </si>
  <si>
    <t>257.3</t>
  </si>
  <si>
    <t>8.76</t>
  </si>
  <si>
    <t>49.7</t>
  </si>
  <si>
    <t xml:space="preserve"> 11/5/2021 12:46</t>
  </si>
  <si>
    <t>1.97</t>
  </si>
  <si>
    <t>217.7</t>
  </si>
  <si>
    <t>10.35</t>
  </si>
  <si>
    <t>36.8</t>
  </si>
  <si>
    <t xml:space="preserve"> 11/5/2021 12:01</t>
  </si>
  <si>
    <t>10.69</t>
  </si>
  <si>
    <t>40.8</t>
  </si>
  <si>
    <t xml:space="preserve">  11/5/2021 1:11</t>
  </si>
  <si>
    <t>4.95</t>
  </si>
  <si>
    <t>651.6</t>
  </si>
  <si>
    <t xml:space="preserve">  11/5/2021 1:02</t>
  </si>
  <si>
    <t>5.6</t>
  </si>
  <si>
    <t>10.07</t>
  </si>
  <si>
    <t>42</t>
  </si>
  <si>
    <t>6.1</t>
  </si>
  <si>
    <t>9.199999999999999</t>
  </si>
  <si>
    <t>1.5</t>
  </si>
  <si>
    <t>125.9</t>
  </si>
  <si>
    <t>12.72</t>
  </si>
  <si>
    <t>2.6</t>
  </si>
  <si>
    <t>12.61</t>
  </si>
  <si>
    <t>52.1</t>
  </si>
  <si>
    <t>2.10 AM BEFORE KILL- Z</t>
  </si>
  <si>
    <t>5.42</t>
  </si>
  <si>
    <t>56</t>
  </si>
  <si>
    <t>5.1</t>
  </si>
  <si>
    <t>3.48</t>
  </si>
  <si>
    <t>1066</t>
  </si>
  <si>
    <t>76</t>
  </si>
  <si>
    <t>2.76</t>
  </si>
  <si>
    <t>192.1</t>
  </si>
  <si>
    <t>14</t>
  </si>
  <si>
    <t>18.2</t>
  </si>
  <si>
    <t>4.14</t>
  </si>
  <si>
    <t>114.1</t>
  </si>
  <si>
    <t xml:space="preserve">  11/5/2021 2:35</t>
  </si>
  <si>
    <t>8.92</t>
  </si>
  <si>
    <t>23.4</t>
  </si>
  <si>
    <t>11.61</t>
  </si>
  <si>
    <t>24.3</t>
  </si>
  <si>
    <t>10.71</t>
  </si>
  <si>
    <t>21.2</t>
  </si>
  <si>
    <t>108</t>
  </si>
  <si>
    <t xml:space="preserve">  11/5/2021 4:25</t>
  </si>
  <si>
    <t>.23</t>
  </si>
  <si>
    <t>2592.3</t>
  </si>
  <si>
    <t>50</t>
  </si>
  <si>
    <t>7.08</t>
  </si>
  <si>
    <t>94.5</t>
  </si>
  <si>
    <t>4.71</t>
  </si>
  <si>
    <t>109.1</t>
  </si>
  <si>
    <t>4.48</t>
  </si>
  <si>
    <t>128.8</t>
  </si>
  <si>
    <t xml:space="preserve">  11/5/2021 6:06</t>
  </si>
  <si>
    <t>18</t>
  </si>
  <si>
    <t>22</t>
  </si>
  <si>
    <t xml:space="preserve">  11/5/2021 9:43</t>
  </si>
  <si>
    <t>20</t>
  </si>
  <si>
    <t>15.7</t>
  </si>
  <si>
    <t>251.4</t>
  </si>
  <si>
    <t xml:space="preserve">  11/5/2021 9:39</t>
  </si>
  <si>
    <t>13.1</t>
  </si>
  <si>
    <t>51.8</t>
  </si>
  <si>
    <t xml:space="preserve">  11/5/2021 9:24</t>
  </si>
  <si>
    <t>35</t>
  </si>
  <si>
    <t>229.1</t>
  </si>
  <si>
    <t xml:space="preserve">  11/5/2021 9:16</t>
  </si>
  <si>
    <t>49</t>
  </si>
  <si>
    <t>9.220000000000001</t>
  </si>
  <si>
    <t>57.6</t>
  </si>
  <si>
    <t xml:space="preserve">  11/5/2021 9:35</t>
  </si>
  <si>
    <t>6</t>
  </si>
  <si>
    <t>162.7</t>
  </si>
  <si>
    <t xml:space="preserve">  11/5/2021 9:40</t>
  </si>
  <si>
    <t>13.13</t>
  </si>
  <si>
    <t>138.1</t>
  </si>
  <si>
    <t xml:space="preserve">  11/5/2021 9:17</t>
  </si>
  <si>
    <t>.6</t>
  </si>
  <si>
    <t xml:space="preserve">  11/5/2021 9:46</t>
  </si>
  <si>
    <t>4.51</t>
  </si>
  <si>
    <t>355.1</t>
  </si>
  <si>
    <t xml:space="preserve">  11/5/2021 9:32</t>
  </si>
  <si>
    <t>4.8</t>
  </si>
  <si>
    <t>8.41</t>
  </si>
  <si>
    <t>128.7</t>
  </si>
  <si>
    <t xml:space="preserve">  11/5/2021 9:30</t>
  </si>
  <si>
    <t>3.6</t>
  </si>
  <si>
    <t>6.71</t>
  </si>
  <si>
    <t>80.09999999999999</t>
  </si>
  <si>
    <t xml:space="preserve">  11/5/2021 9:22</t>
  </si>
  <si>
    <t>4.22</t>
  </si>
  <si>
    <t>144.7</t>
  </si>
  <si>
    <t>21</t>
  </si>
  <si>
    <t>16.11</t>
  </si>
  <si>
    <t>97.7</t>
  </si>
  <si>
    <t>16.01</t>
  </si>
  <si>
    <t>89.90000000000001</t>
  </si>
  <si>
    <t>12.9</t>
  </si>
  <si>
    <t>14.58</t>
  </si>
  <si>
    <t>65.2</t>
  </si>
  <si>
    <t>14.71</t>
  </si>
  <si>
    <t>121.1</t>
  </si>
  <si>
    <t>23.1</t>
  </si>
  <si>
    <t>14.16</t>
  </si>
  <si>
    <t>68.40000000000001</t>
  </si>
  <si>
    <t>13.98</t>
  </si>
  <si>
    <t>92.59999999999999</t>
  </si>
  <si>
    <t>6.78</t>
  </si>
  <si>
    <t>167</t>
  </si>
  <si>
    <t>Y 5.45</t>
  </si>
  <si>
    <t>7.74</t>
  </si>
  <si>
    <t>58.1</t>
  </si>
  <si>
    <t>11.88</t>
  </si>
  <si>
    <t>26.3</t>
  </si>
  <si>
    <t>14.98</t>
  </si>
  <si>
    <t>59.1</t>
  </si>
  <si>
    <t>13.06</t>
  </si>
  <si>
    <t>27.7</t>
  </si>
  <si>
    <t>14.77</t>
  </si>
  <si>
    <t>63.1</t>
  </si>
  <si>
    <t>14.86</t>
  </si>
  <si>
    <t>70.5</t>
  </si>
  <si>
    <t>15.9</t>
  </si>
  <si>
    <t>45.3</t>
  </si>
  <si>
    <t>15.04</t>
  </si>
  <si>
    <t>77.8</t>
  </si>
  <si>
    <t>10.09</t>
  </si>
  <si>
    <t>38.3</t>
  </si>
  <si>
    <t>10.38</t>
  </si>
  <si>
    <t>38.8</t>
  </si>
  <si>
    <t>39.1</t>
  </si>
  <si>
    <t>317.5</t>
  </si>
  <si>
    <t>6.7</t>
  </si>
  <si>
    <t>6.24</t>
  </si>
  <si>
    <t>175.3</t>
  </si>
  <si>
    <t>9.82</t>
  </si>
  <si>
    <t>8</t>
  </si>
  <si>
    <t>2.86</t>
  </si>
  <si>
    <t>289.4</t>
  </si>
  <si>
    <t>5.7</t>
  </si>
  <si>
    <t>10.88</t>
  </si>
  <si>
    <t>32.8</t>
  </si>
  <si>
    <t>11.73</t>
  </si>
  <si>
    <t>67.90000000000001</t>
  </si>
  <si>
    <t>186.8</t>
  </si>
  <si>
    <t>8.140000000000001</t>
  </si>
  <si>
    <t>68.90000000000001</t>
  </si>
  <si>
    <t>53</t>
  </si>
  <si>
    <t>7.46</t>
  </si>
  <si>
    <t>107</t>
  </si>
  <si>
    <t>5</t>
  </si>
  <si>
    <t>7.91</t>
  </si>
  <si>
    <t>49.2</t>
  </si>
  <si>
    <t>8.01</t>
  </si>
  <si>
    <t>53.2</t>
  </si>
  <si>
    <t>14.89</t>
  </si>
  <si>
    <t>82.90000000000001</t>
  </si>
  <si>
    <t>9.5</t>
  </si>
  <si>
    <t>8.26</t>
  </si>
  <si>
    <t>17.6</t>
  </si>
  <si>
    <t>13.57</t>
  </si>
  <si>
    <t>158.4</t>
  </si>
  <si>
    <t>20.5</t>
  </si>
  <si>
    <t>13.28</t>
  </si>
  <si>
    <t>170.3</t>
  </si>
  <si>
    <t>20.1</t>
  </si>
  <si>
    <t>14.18</t>
  </si>
  <si>
    <t>224.8</t>
  </si>
  <si>
    <t xml:space="preserve">  10/5/2021 3:36</t>
  </si>
  <si>
    <t>18.4</t>
  </si>
  <si>
    <t>11.57</t>
  </si>
  <si>
    <t>61.4</t>
  </si>
  <si>
    <t>17.8</t>
  </si>
  <si>
    <t>14.14</t>
  </si>
  <si>
    <t>47.9</t>
  </si>
  <si>
    <t>12.6</t>
  </si>
  <si>
    <t>50.7</t>
  </si>
  <si>
    <t xml:space="preserve">  10/5/2021 3:20</t>
  </si>
  <si>
    <t>12.99</t>
  </si>
  <si>
    <t>76.90000000000001</t>
  </si>
  <si>
    <t>15.91</t>
  </si>
  <si>
    <t>166.4</t>
  </si>
  <si>
    <t>13.65</t>
  </si>
  <si>
    <t>202.4</t>
  </si>
  <si>
    <t>14.82</t>
  </si>
  <si>
    <t>254</t>
  </si>
  <si>
    <t xml:space="preserve">  10/5/2021 2:58</t>
  </si>
  <si>
    <t>12.89</t>
  </si>
  <si>
    <t>171.5</t>
  </si>
  <si>
    <t>23.3</t>
  </si>
  <si>
    <t>56.5</t>
  </si>
  <si>
    <t>14.15</t>
  </si>
  <si>
    <t>12.01</t>
  </si>
  <si>
    <t>74.8</t>
  </si>
  <si>
    <t>14.92</t>
  </si>
  <si>
    <t>217.5</t>
  </si>
  <si>
    <t>8.5</t>
  </si>
  <si>
    <t>13.96</t>
  </si>
  <si>
    <t>71.8</t>
  </si>
  <si>
    <t xml:space="preserve">  10/5/2021 3:26</t>
  </si>
  <si>
    <t>16.2</t>
  </si>
  <si>
    <t>13.01</t>
  </si>
  <si>
    <t>50.9</t>
  </si>
  <si>
    <t>14.07</t>
  </si>
  <si>
    <t>18.6</t>
  </si>
  <si>
    <t xml:space="preserve">  10/5/2021 4:04</t>
  </si>
  <si>
    <t>17.7</t>
  </si>
  <si>
    <t>348.4</t>
  </si>
  <si>
    <t>12.98</t>
  </si>
  <si>
    <t>60.2</t>
  </si>
  <si>
    <t xml:space="preserve">  10/5/2021 3:46</t>
  </si>
  <si>
    <t>15.01</t>
  </si>
  <si>
    <t>66</t>
  </si>
  <si>
    <t>20.2</t>
  </si>
  <si>
    <t>308.2</t>
  </si>
  <si>
    <t>13.89</t>
  </si>
  <si>
    <t>13.92</t>
  </si>
  <si>
    <t>87.40000000000001</t>
  </si>
  <si>
    <t>14.63</t>
  </si>
  <si>
    <t>111.3</t>
  </si>
  <si>
    <t xml:space="preserve">  10/5/2021 3:06</t>
  </si>
  <si>
    <t>12.08</t>
  </si>
  <si>
    <t>109.2</t>
  </si>
  <si>
    <t>15.62</t>
  </si>
  <si>
    <t>123.3</t>
  </si>
  <si>
    <t>14.21</t>
  </si>
  <si>
    <t>177.3</t>
  </si>
  <si>
    <t>15.31</t>
  </si>
  <si>
    <t xml:space="preserve">  10/5/2021 3:32</t>
  </si>
  <si>
    <t>233.6</t>
  </si>
  <si>
    <t>13.75</t>
  </si>
  <si>
    <t>222.1</t>
  </si>
  <si>
    <t xml:space="preserve">  10/5/2021 3:19</t>
  </si>
  <si>
    <t>66.09999999999999</t>
  </si>
  <si>
    <t>14.22</t>
  </si>
  <si>
    <t>173.4</t>
  </si>
  <si>
    <t>13.55</t>
  </si>
  <si>
    <t>347.6</t>
  </si>
  <si>
    <t xml:space="preserve">  10/5/2021 3:42</t>
  </si>
  <si>
    <t>12.32</t>
  </si>
  <si>
    <t>127.1</t>
  </si>
  <si>
    <t>15.41</t>
  </si>
  <si>
    <t>201.2</t>
  </si>
  <si>
    <t>14.6</t>
  </si>
  <si>
    <t>191.2</t>
  </si>
  <si>
    <t>13.63</t>
  </si>
  <si>
    <t>39.9</t>
  </si>
  <si>
    <t>12.53</t>
  </si>
  <si>
    <t>66.40000000000001</t>
  </si>
  <si>
    <t>13.91</t>
  </si>
  <si>
    <t>52.9</t>
  </si>
  <si>
    <t>1.9</t>
  </si>
  <si>
    <t>122.4</t>
  </si>
  <si>
    <t>227.3</t>
  </si>
  <si>
    <t>15.2</t>
  </si>
  <si>
    <t>147.4</t>
  </si>
  <si>
    <t>84.5</t>
  </si>
  <si>
    <t>12.22</t>
  </si>
  <si>
    <t>50.5</t>
  </si>
  <si>
    <t>13.45</t>
  </si>
  <si>
    <t>46.6</t>
  </si>
  <si>
    <t xml:space="preserve">  10/5/2021 3:58</t>
  </si>
  <si>
    <t>9.35</t>
  </si>
  <si>
    <t>40.4</t>
  </si>
  <si>
    <t xml:space="preserve">  10/5/2021 4:12</t>
  </si>
  <si>
    <t>222</t>
  </si>
  <si>
    <t>2</t>
  </si>
  <si>
    <t>13.74</t>
  </si>
  <si>
    <t>159</t>
  </si>
  <si>
    <t>12.87</t>
  </si>
  <si>
    <t>143.3</t>
  </si>
  <si>
    <t>14.02</t>
  </si>
  <si>
    <t>167.2</t>
  </si>
  <si>
    <t>242.2</t>
  </si>
  <si>
    <t>14.65</t>
  </si>
  <si>
    <t>227.6</t>
  </si>
  <si>
    <t>14.34</t>
  </si>
  <si>
    <t>270.5</t>
  </si>
  <si>
    <t xml:space="preserve">  10/5/2021 3:03</t>
  </si>
  <si>
    <t>14.06</t>
  </si>
  <si>
    <t>172.9</t>
  </si>
  <si>
    <t xml:space="preserve">  10/5/2021 3:53</t>
  </si>
  <si>
    <t>159.6</t>
  </si>
  <si>
    <t>333.1</t>
  </si>
  <si>
    <t xml:space="preserve">  10/5/2021 4:09</t>
  </si>
  <si>
    <t>14.54</t>
  </si>
  <si>
    <t>127.4</t>
  </si>
  <si>
    <t>13.38</t>
  </si>
  <si>
    <t>13.56</t>
  </si>
  <si>
    <t>247.9</t>
  </si>
  <si>
    <t>3.5</t>
  </si>
  <si>
    <t>14.09</t>
  </si>
  <si>
    <t xml:space="preserve">  10/5/2021 4:17</t>
  </si>
  <si>
    <t>13.97</t>
  </si>
  <si>
    <t>271.8</t>
  </si>
  <si>
    <t>226.1</t>
  </si>
  <si>
    <t>14.96</t>
  </si>
  <si>
    <t>77.90000000000001</t>
  </si>
  <si>
    <t>16.1</t>
  </si>
  <si>
    <t>15.14</t>
  </si>
  <si>
    <t>63.5</t>
  </si>
  <si>
    <t>13.37</t>
  </si>
  <si>
    <t>67.7</t>
  </si>
  <si>
    <t>19.5</t>
  </si>
  <si>
    <t>14.33</t>
  </si>
  <si>
    <t xml:space="preserve">  10/5/2021 6:42</t>
  </si>
  <si>
    <t>11.6</t>
  </si>
  <si>
    <t>14.23</t>
  </si>
  <si>
    <t>197.3</t>
  </si>
  <si>
    <t xml:space="preserve">  10/5/2021 6:13</t>
  </si>
  <si>
    <t>13.6</t>
  </si>
  <si>
    <t>14.37</t>
  </si>
  <si>
    <t>122.6</t>
  </si>
  <si>
    <t>23.2</t>
  </si>
  <si>
    <t>55.1</t>
  </si>
  <si>
    <t>79.59999999999999</t>
  </si>
  <si>
    <t>21.8</t>
  </si>
  <si>
    <t>13.64</t>
  </si>
  <si>
    <t xml:space="preserve">  10/5/2021 5:58</t>
  </si>
  <si>
    <t>13.83</t>
  </si>
  <si>
    <t>276.3</t>
  </si>
  <si>
    <t>61.5</t>
  </si>
  <si>
    <t xml:space="preserve">  10/5/2021 6:59</t>
  </si>
  <si>
    <t>7.96</t>
  </si>
  <si>
    <t>306.2</t>
  </si>
  <si>
    <t>12.71</t>
  </si>
  <si>
    <t>155.3</t>
  </si>
  <si>
    <t>20.6</t>
  </si>
  <si>
    <t>14.35</t>
  </si>
  <si>
    <t>155.2</t>
  </si>
  <si>
    <t>14.12</t>
  </si>
  <si>
    <t>175.9</t>
  </si>
  <si>
    <t>11.79</t>
  </si>
  <si>
    <t xml:space="preserve">  10/5/2021 6:23</t>
  </si>
  <si>
    <t>14.27</t>
  </si>
  <si>
    <t>161.3</t>
  </si>
  <si>
    <t>10.16</t>
  </si>
  <si>
    <t>19.9</t>
  </si>
  <si>
    <t>13.39</t>
  </si>
  <si>
    <t>236.7</t>
  </si>
  <si>
    <t>16.3</t>
  </si>
  <si>
    <t>13.8</t>
  </si>
  <si>
    <t>32.2</t>
  </si>
  <si>
    <t xml:space="preserve">  10/5/2021 6:45</t>
  </si>
  <si>
    <t>214.9</t>
  </si>
  <si>
    <t>9.9</t>
  </si>
  <si>
    <t>14.66</t>
  </si>
  <si>
    <t>61.9</t>
  </si>
  <si>
    <t>12.3</t>
  </si>
  <si>
    <t>14.59</t>
  </si>
  <si>
    <t>153.3</t>
  </si>
  <si>
    <t xml:space="preserve">  10/5/2021 6:27</t>
  </si>
  <si>
    <t>169.5</t>
  </si>
  <si>
    <t>13.77</t>
  </si>
  <si>
    <t>48.6</t>
  </si>
  <si>
    <t>13.99</t>
  </si>
  <si>
    <t>49.5</t>
  </si>
  <si>
    <t>263.9</t>
  </si>
  <si>
    <t xml:space="preserve">  10/5/2021 6:07</t>
  </si>
  <si>
    <t>275.5</t>
  </si>
  <si>
    <t>289.2</t>
  </si>
  <si>
    <t>13.43</t>
  </si>
  <si>
    <t>126.6</t>
  </si>
  <si>
    <t>15.06</t>
  </si>
  <si>
    <t>312.1</t>
  </si>
  <si>
    <t>14.72</t>
  </si>
  <si>
    <t>135.7</t>
  </si>
  <si>
    <t xml:space="preserve">  10/5/2021 6:52</t>
  </si>
  <si>
    <t>5.82</t>
  </si>
  <si>
    <t xml:space="preserve">  10/5/2021 6:19</t>
  </si>
  <si>
    <t>11.1</t>
  </si>
  <si>
    <t>42.6</t>
  </si>
  <si>
    <t>11.86</t>
  </si>
  <si>
    <t>220.6</t>
  </si>
  <si>
    <t>57.3</t>
  </si>
  <si>
    <t xml:space="preserve">  10/5/2021 7:08</t>
  </si>
  <si>
    <t>13.95</t>
  </si>
  <si>
    <t>60.4</t>
  </si>
  <si>
    <t>13.03</t>
  </si>
  <si>
    <t>288.3</t>
  </si>
  <si>
    <t>61.6</t>
  </si>
  <si>
    <t>14.99</t>
  </si>
  <si>
    <t>250.3</t>
  </si>
  <si>
    <t>294.7</t>
  </si>
  <si>
    <t xml:space="preserve">  10/5/2021 6:46</t>
  </si>
  <si>
    <t>13.15</t>
  </si>
  <si>
    <t>239.8</t>
  </si>
  <si>
    <t>197</t>
  </si>
  <si>
    <t>65.40000000000001</t>
  </si>
  <si>
    <t>303.6</t>
  </si>
  <si>
    <t>12.48</t>
  </si>
  <si>
    <t>36.3</t>
  </si>
  <si>
    <t>12.74</t>
  </si>
  <si>
    <t>59</t>
  </si>
  <si>
    <t>13.81</t>
  </si>
  <si>
    <t>37.2</t>
  </si>
  <si>
    <t>185.9</t>
  </si>
  <si>
    <t xml:space="preserve">  10/5/2021 7:12</t>
  </si>
  <si>
    <t>255.9</t>
  </si>
  <si>
    <t>268.1</t>
  </si>
  <si>
    <t>8.93</t>
  </si>
  <si>
    <t>115.7</t>
  </si>
  <si>
    <t xml:space="preserve">  10/5/2021 6:01</t>
  </si>
  <si>
    <t>2.2</t>
  </si>
  <si>
    <t>135</t>
  </si>
  <si>
    <t>183.9</t>
  </si>
  <si>
    <t>277.7</t>
  </si>
  <si>
    <t>5.8</t>
  </si>
  <si>
    <t>15.36</t>
  </si>
  <si>
    <t>67.3</t>
  </si>
  <si>
    <t>112.4</t>
  </si>
  <si>
    <t xml:space="preserve">  10/5/2021 6:48</t>
  </si>
  <si>
    <t>12.79</t>
  </si>
  <si>
    <t>190.4</t>
  </si>
  <si>
    <t>13.76</t>
  </si>
  <si>
    <t>25.2</t>
  </si>
  <si>
    <t>62</t>
  </si>
  <si>
    <t>14.79</t>
  </si>
  <si>
    <t>90.3</t>
  </si>
  <si>
    <t xml:space="preserve">  10/5/2021 7:02</t>
  </si>
  <si>
    <t>81.90000000000001</t>
  </si>
  <si>
    <t>15.25</t>
  </si>
  <si>
    <t>188.1</t>
  </si>
  <si>
    <t>14.87</t>
  </si>
  <si>
    <t>43.3</t>
  </si>
  <si>
    <t>7.33</t>
  </si>
  <si>
    <t>179.3</t>
  </si>
  <si>
    <t>18.3</t>
  </si>
  <si>
    <t>6.01</t>
  </si>
  <si>
    <t>50.4</t>
  </si>
  <si>
    <t>cBase(B.ox) (mmol/L)</t>
  </si>
  <si>
    <t>cBase(Ecf.ox) (mmol/L)</t>
  </si>
  <si>
    <t>Glucose</t>
  </si>
  <si>
    <t>Bacteriology</t>
  </si>
  <si>
    <t>ø3</t>
  </si>
  <si>
    <t>REMOVE</t>
  </si>
  <si>
    <t>Comments</t>
  </si>
  <si>
    <t xml:space="preserve">Should be removed from dataset completely </t>
  </si>
  <si>
    <t xml:space="preserve">Discussed if it should be removed from analysis, decided to keep it in </t>
  </si>
  <si>
    <t>Samples from Time=22 should be ignored because of blood loss</t>
  </si>
  <si>
    <t>Euthanised on scheduel, OBS : not affetcted by SE, possible that it was innoculated with saline or wrong dose</t>
  </si>
  <si>
    <t>Neu_n</t>
  </si>
  <si>
    <t>Lymph_n</t>
  </si>
  <si>
    <t>Mono_n</t>
  </si>
  <si>
    <t>EOS_n</t>
  </si>
  <si>
    <t>Bas_n</t>
  </si>
  <si>
    <t>LUC_n</t>
  </si>
  <si>
    <t>Reticulocytes_n</t>
  </si>
  <si>
    <t>Kill_number</t>
  </si>
  <si>
    <t>104-21</t>
  </si>
  <si>
    <t>105-21</t>
  </si>
  <si>
    <t>106-21</t>
  </si>
  <si>
    <t>107-21</t>
  </si>
  <si>
    <t>108-21</t>
  </si>
  <si>
    <t>109-21</t>
  </si>
  <si>
    <t>110-21</t>
  </si>
  <si>
    <t>111-21</t>
  </si>
  <si>
    <t>112-21</t>
  </si>
  <si>
    <t>113-21</t>
  </si>
  <si>
    <t>114-21</t>
  </si>
  <si>
    <t>115-21</t>
  </si>
  <si>
    <t>116-21</t>
  </si>
  <si>
    <t>117-21</t>
  </si>
  <si>
    <t>118-21</t>
  </si>
  <si>
    <t>119-21</t>
  </si>
  <si>
    <t>120-21</t>
  </si>
  <si>
    <t>121-21</t>
  </si>
  <si>
    <t>122-21</t>
  </si>
  <si>
    <t>123-21</t>
  </si>
  <si>
    <t>124-21</t>
  </si>
  <si>
    <t>125-21</t>
  </si>
  <si>
    <t>126-21</t>
  </si>
  <si>
    <t>127-21</t>
  </si>
  <si>
    <t>128-21</t>
  </si>
  <si>
    <t>129-21</t>
  </si>
  <si>
    <t>130-21</t>
  </si>
  <si>
    <t>131-21</t>
  </si>
  <si>
    <t>132-21</t>
  </si>
  <si>
    <t>133-21</t>
  </si>
  <si>
    <t>134-21</t>
  </si>
  <si>
    <t>135-21</t>
  </si>
  <si>
    <t>136-21</t>
  </si>
  <si>
    <t>137-21</t>
  </si>
  <si>
    <t>138-21</t>
  </si>
  <si>
    <t>139-21</t>
  </si>
  <si>
    <t>140-21</t>
  </si>
  <si>
    <t>141-21</t>
  </si>
  <si>
    <t>142-21</t>
  </si>
  <si>
    <t>143-21</t>
  </si>
  <si>
    <t>144-21</t>
  </si>
  <si>
    <t>145-21</t>
  </si>
  <si>
    <t>146-21</t>
  </si>
  <si>
    <t>147-21</t>
  </si>
  <si>
    <t>148-21</t>
  </si>
  <si>
    <t>149-21</t>
  </si>
  <si>
    <t>150-21</t>
  </si>
  <si>
    <t>151-21</t>
  </si>
  <si>
    <t>152-21</t>
  </si>
  <si>
    <t>153-21</t>
  </si>
  <si>
    <t>154-21</t>
  </si>
  <si>
    <t>155-21</t>
  </si>
  <si>
    <t>156-21</t>
  </si>
  <si>
    <t>157-21</t>
  </si>
  <si>
    <t>158-21</t>
  </si>
  <si>
    <t>159-21</t>
  </si>
  <si>
    <t>160-21</t>
  </si>
  <si>
    <t>161-21</t>
  </si>
  <si>
    <t>162-21</t>
  </si>
  <si>
    <t>163-21</t>
  </si>
  <si>
    <t>164-21</t>
  </si>
  <si>
    <t>165-21</t>
  </si>
  <si>
    <t>Treatment</t>
  </si>
  <si>
    <t>Sample_Time</t>
  </si>
  <si>
    <t>Brain_weight_total_g</t>
  </si>
  <si>
    <t>Remnant_g</t>
  </si>
  <si>
    <t>Foil_weight_g</t>
  </si>
  <si>
    <t>Total_dry_weight_g</t>
  </si>
  <si>
    <t>Water_percentage</t>
  </si>
  <si>
    <t>ChoroidPlexus</t>
  </si>
  <si>
    <t>CSF</t>
  </si>
  <si>
    <t>CSF_Cell_count</t>
  </si>
  <si>
    <t>CSF_cells/uL</t>
  </si>
  <si>
    <t>yes</t>
  </si>
  <si>
    <t>no</t>
  </si>
  <si>
    <t>??</t>
  </si>
  <si>
    <t>ALB (g/L)</t>
  </si>
  <si>
    <t>TP (g/L )</t>
  </si>
  <si>
    <t>ALP   (U/L )</t>
  </si>
  <si>
    <t>ALT (U/L )</t>
  </si>
  <si>
    <t>total bilirubin (umol/L )</t>
  </si>
  <si>
    <t>CK   (U/L )</t>
  </si>
  <si>
    <t>Cholesterol (mmol/L )</t>
  </si>
  <si>
    <t>creatinin (umol/L )</t>
  </si>
  <si>
    <t>IRON_2 (umol/L )</t>
  </si>
  <si>
    <t>phosphat (mmol/L )</t>
  </si>
  <si>
    <t>AST (U/L )</t>
  </si>
  <si>
    <t>urea (mmol/L )</t>
  </si>
  <si>
    <t>GGT (U/L )</t>
  </si>
  <si>
    <t>CA (mmol/L )</t>
  </si>
  <si>
    <t>MG (mmol/L )</t>
  </si>
  <si>
    <t>Na (mmol/L )</t>
  </si>
  <si>
    <t>K (mmol/L )</t>
  </si>
  <si>
    <t>GLUH_3 (mmol/L )</t>
  </si>
  <si>
    <t xml:space="preserve">  </t>
  </si>
  <si>
    <t>IL10</t>
  </si>
  <si>
    <t>TNFA</t>
  </si>
  <si>
    <t>IL6</t>
  </si>
  <si>
    <t>C3 (ng/mL)</t>
  </si>
  <si>
    <t>High_CON</t>
  </si>
  <si>
    <t>High_SE</t>
  </si>
  <si>
    <t>Low_CON</t>
  </si>
  <si>
    <t>Low_SE</t>
  </si>
  <si>
    <t>statistics</t>
  </si>
  <si>
    <t xml:space="preserve">High_SE - High_CON == 0 </t>
  </si>
  <si>
    <t>Low_SE - High_SE == 0</t>
  </si>
  <si>
    <t>Low_SE - Low_CON == 0</t>
  </si>
  <si>
    <t>Low_CON - High_CON == 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</si>
</sst>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\ hh:mm:ss;@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1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36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 applyAlignment="1">
      <alignment horizontal="center"/>
    </xf>
    <xf numFmtId="0" fontId="0" fillId="3" borderId="1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4" borderId="0" xfId="0" applyFill="1"/>
    <xf numFmtId="0" fontId="0" fillId="4" borderId="0" xfId="0" applyFill="1" applyAlignment="1">
      <alignment horizontal="center"/>
    </xf>
    <xf numFmtId="0" fontId="1" fillId="5" borderId="2" xfId="0" applyFont="1" applyFill="1" applyBorder="1" applyAlignment="1">
      <alignment horizontal="center" wrapText="1"/>
    </xf>
    <xf numFmtId="0" fontId="1" fillId="5" borderId="3" xfId="0" applyFont="1" applyFill="1" applyBorder="1" applyAlignment="1">
      <alignment horizontal="center" wrapText="1"/>
    </xf>
    <xf numFmtId="0" fontId="0" fillId="3" borderId="0" xfId="0" applyFill="1"/>
    <xf numFmtId="0" fontId="0" fillId="2" borderId="0" xfId="0" applyFill="1"/>
    <xf numFmtId="0" fontId="1" fillId="5" borderId="0" xfId="0" applyFont="1" applyFill="1" applyAlignment="1">
      <alignment horizontal="center" wrapText="1"/>
    </xf>
    <xf numFmtId="20" fontId="0" fillId="0" borderId="0" xfId="0" applyNumberFormat="1"/>
    <xf numFmtId="2" fontId="0" fillId="0" borderId="0" xfId="0" applyNumberFormat="1"/>
    <xf numFmtId="20" fontId="0" fillId="4" borderId="0" xfId="0" applyNumberFormat="1" applyFill="1"/>
    <xf numFmtId="0" fontId="0" fillId="6" borderId="1" xfId="0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6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7" borderId="0" xfId="0" applyFill="1"/>
    <xf numFmtId="0" fontId="1" fillId="5" borderId="3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7" borderId="0" xfId="0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/>
    </xf>
    <xf numFmtId="0" fontId="0" fillId="6" borderId="0" xfId="0" applyFill="1"/>
    <xf numFmtId="0" fontId="0" fillId="7" borderId="1" xfId="0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4" borderId="1" xfId="0" applyFill="1" applyBorder="1" applyAlignment="1">
      <alignment horizontal="left"/>
    </xf>
    <xf numFmtId="0" fontId="0" fillId="4" borderId="6" xfId="0" applyFill="1" applyBorder="1" applyAlignment="1">
      <alignment horizontal="left"/>
    </xf>
    <xf numFmtId="0" fontId="0" fillId="3" borderId="1" xfId="0" applyFill="1" applyBorder="1" applyAlignment="1">
      <alignment horizontal="left"/>
    </xf>
    <xf numFmtId="0" fontId="0" fillId="3" borderId="6" xfId="0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6" xfId="0" applyFill="1" applyBorder="1" applyAlignment="1">
      <alignment horizontal="left"/>
    </xf>
    <xf numFmtId="0" fontId="0" fillId="6" borderId="1" xfId="0" applyFill="1" applyBorder="1" applyAlignment="1">
      <alignment horizontal="left"/>
    </xf>
    <xf numFmtId="0" fontId="0" fillId="6" borderId="6" xfId="0" applyFill="1" applyBorder="1" applyAlignment="1">
      <alignment horizontal="left"/>
    </xf>
    <xf numFmtId="0" fontId="0" fillId="8" borderId="0" xfId="0" applyFill="1"/>
    <xf numFmtId="0" fontId="0" fillId="0" borderId="0" xfId="0" applyAlignment="1">
      <alignment horizontal="center"/>
    </xf>
    <xf numFmtId="0" fontId="0" fillId="9" borderId="0" xfId="0" applyFill="1" applyAlignment="1">
      <alignment horizontal="center"/>
    </xf>
    <xf numFmtId="0" fontId="0" fillId="9" borderId="0" xfId="0" applyFill="1"/>
    <xf numFmtId="0" fontId="0" fillId="10" borderId="0" xfId="0" applyFill="1"/>
    <xf numFmtId="0" fontId="0" fillId="11" borderId="0" xfId="0" applyFill="1" applyAlignment="1">
      <alignment horizontal="center"/>
    </xf>
    <xf numFmtId="0" fontId="0" fillId="11" borderId="0" xfId="0" applyFill="1"/>
    <xf numFmtId="0" fontId="0" fillId="9" borderId="1" xfId="0" applyFill="1" applyBorder="1" applyAlignment="1">
      <alignment horizontal="center"/>
    </xf>
    <xf numFmtId="0" fontId="0" fillId="9" borderId="4" xfId="0" applyFill="1" applyBorder="1" applyAlignment="1">
      <alignment horizontal="center"/>
    </xf>
    <xf numFmtId="0" fontId="0" fillId="9" borderId="1" xfId="0" applyFill="1" applyBorder="1"/>
    <xf numFmtId="0" fontId="0" fillId="4" borderId="1" xfId="0" applyFill="1" applyBorder="1"/>
    <xf numFmtId="0" fontId="0" fillId="10" borderId="1" xfId="0" applyFill="1" applyBorder="1"/>
    <xf numFmtId="0" fontId="0" fillId="6" borderId="6" xfId="0" applyFill="1" applyBorder="1"/>
    <xf numFmtId="0" fontId="0" fillId="4" borderId="6" xfId="0" applyFill="1" applyBorder="1"/>
    <xf numFmtId="0" fontId="0" fillId="10" borderId="6" xfId="0" applyFill="1" applyBorder="1"/>
    <xf numFmtId="0" fontId="0" fillId="3" borderId="6" xfId="0" applyFill="1" applyBorder="1"/>
    <xf numFmtId="0" fontId="0" fillId="9" borderId="0" xfId="0" applyFill="1" applyAlignment="1">
      <alignment horizontal="center" vertical="center"/>
    </xf>
    <xf numFmtId="20" fontId="0" fillId="9" borderId="0" xfId="0" applyNumberFormat="1" applyFill="1"/>
    <xf numFmtId="2" fontId="0" fillId="9" borderId="0" xfId="0" applyNumberFormat="1" applyFill="1"/>
    <xf numFmtId="0" fontId="0" fillId="12" borderId="0" xfId="0" applyFill="1"/>
    <xf numFmtId="0" fontId="0" fillId="12" borderId="1" xfId="0" applyFill="1" applyBorder="1" applyAlignment="1">
      <alignment horizontal="center"/>
    </xf>
    <xf numFmtId="20" fontId="0" fillId="12" borderId="0" xfId="0" applyNumberFormat="1" applyFill="1"/>
    <xf numFmtId="2" fontId="0" fillId="12" borderId="0" xfId="0" applyNumberFormat="1" applyFill="1"/>
    <xf numFmtId="1" fontId="1" fillId="5" borderId="0" xfId="0" applyNumberFormat="1" applyFont="1" applyFill="1" applyAlignment="1">
      <alignment horizontal="center" wrapText="1"/>
    </xf>
    <xf numFmtId="1" fontId="0" fillId="9" borderId="0" xfId="0" applyNumberFormat="1" applyFill="1"/>
    <xf numFmtId="1" fontId="0" fillId="0" borderId="0" xfId="0" applyNumberFormat="1"/>
    <xf numFmtId="1" fontId="0" fillId="8" borderId="0" xfId="0" applyNumberFormat="1" applyFill="1"/>
    <xf numFmtId="1" fontId="0" fillId="12" borderId="0" xfId="0" applyNumberFormat="1" applyFill="1"/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3" borderId="0" xfId="0" applyFill="1" applyAlignment="1">
      <alignment horizontal="left"/>
    </xf>
    <xf numFmtId="0" fontId="0" fillId="6" borderId="1" xfId="0" applyFill="1" applyBorder="1"/>
    <xf numFmtId="0" fontId="0" fillId="4" borderId="0" xfId="0" applyFill="1" applyAlignment="1">
      <alignment horizontal="left"/>
    </xf>
    <xf numFmtId="0" fontId="0" fillId="6" borderId="0" xfId="0" applyFill="1" applyAlignment="1">
      <alignment horizontal="left"/>
    </xf>
    <xf numFmtId="0" fontId="0" fillId="7" borderId="0" xfId="0" applyFill="1" applyAlignment="1">
      <alignment horizontal="left"/>
    </xf>
    <xf numFmtId="0" fontId="0" fillId="7" borderId="1" xfId="0" applyFill="1" applyBorder="1"/>
    <xf numFmtId="0" fontId="0" fillId="2" borderId="0" xfId="0" applyFill="1" applyAlignment="1">
      <alignment horizontal="left"/>
    </xf>
    <xf numFmtId="0" fontId="0" fillId="3" borderId="1" xfId="0" applyFill="1" applyBorder="1"/>
    <xf numFmtId="0" fontId="0" fillId="2" borderId="1" xfId="0" applyFill="1" applyBorder="1"/>
    <xf numFmtId="0" fontId="0" fillId="3" borderId="4" xfId="0" applyFill="1" applyBorder="1"/>
    <xf numFmtId="0" fontId="0" fillId="11" borderId="4" xfId="0" applyFill="1" applyBorder="1"/>
    <xf numFmtId="0" fontId="0" fillId="11" borderId="1" xfId="0" applyFill="1" applyBorder="1"/>
    <xf numFmtId="0" fontId="0" fillId="2" borderId="4" xfId="0" applyFill="1" applyBorder="1" applyAlignment="1">
      <alignment horizontal="left"/>
    </xf>
    <xf numFmtId="0" fontId="0" fillId="6" borderId="4" xfId="0" applyFill="1" applyBorder="1"/>
    <xf numFmtId="0" fontId="0" fillId="7" borderId="6" xfId="0" applyFill="1" applyBorder="1"/>
    <xf numFmtId="0" fontId="0" fillId="2" borderId="6" xfId="0" applyFill="1" applyBorder="1"/>
    <xf numFmtId="0" fontId="0" fillId="3" borderId="5" xfId="0" applyFill="1" applyBorder="1"/>
    <xf numFmtId="0" fontId="0" fillId="11" borderId="5" xfId="0" applyFill="1" applyBorder="1"/>
    <xf numFmtId="0" fontId="0" fillId="11" borderId="6" xfId="0" applyFill="1" applyBorder="1"/>
    <xf numFmtId="0" fontId="0" fillId="2" borderId="5" xfId="0" applyFill="1" applyBorder="1" applyAlignment="1">
      <alignment horizontal="left"/>
    </xf>
    <xf numFmtId="0" fontId="0" fillId="6" borderId="5" xfId="0" applyFill="1" applyBorder="1"/>
    <xf numFmtId="0" fontId="0" fillId="0" borderId="7" xfId="0" applyBorder="1"/>
    <xf numFmtId="0" fontId="0" fillId="13" borderId="0" xfId="0" applyFill="1"/>
    <xf numFmtId="14" fontId="0" fillId="0" borderId="0" xfId="0" applyNumberFormat="1"/>
    <xf numFmtId="22" fontId="0" fillId="0" borderId="0" xfId="0" applyNumberFormat="1"/>
    <xf numFmtId="164" fontId="0" fillId="0" borderId="0" xfId="0" applyNumberFormat="1"/>
    <xf numFmtId="0" fontId="0" fillId="10" borderId="0" xfId="0" applyFill="1" applyAlignment="1">
      <alignment horizontal="center"/>
    </xf>
    <xf numFmtId="0" fontId="0" fillId="7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4" borderId="6" xfId="0" applyFill="1" applyBorder="1" applyAlignment="1">
      <alignment horizontal="center"/>
    </xf>
    <xf numFmtId="0" fontId="1" fillId="13" borderId="0" xfId="0" applyFont="1" applyFill="1" applyAlignment="1">
      <alignment horizontal="center" wrapText="1"/>
    </xf>
    <xf numFmtId="0" fontId="1" fillId="14" borderId="0" xfId="0" applyFont="1" applyFill="1" applyAlignment="1">
      <alignment horizontal="center" wrapText="1"/>
    </xf>
    <xf numFmtId="0" fontId="0" fillId="14" borderId="0" xfId="0" applyFill="1"/>
    <xf numFmtId="0" fontId="0" fillId="15" borderId="0" xfId="0" applyFill="1"/>
    <xf numFmtId="0" fontId="0" fillId="7" borderId="4" xfId="0" applyFill="1" applyBorder="1" applyAlignment="1">
      <alignment horizontal="center"/>
    </xf>
    <xf numFmtId="0" fontId="0" fillId="12" borderId="1" xfId="0" applyFill="1" applyBorder="1" applyAlignment="1">
      <alignment horizontal="center" vertical="center"/>
    </xf>
    <xf numFmtId="0" fontId="0" fillId="7" borderId="6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12" borderId="6" xfId="0" applyFill="1" applyBorder="1" applyAlignment="1">
      <alignment horizontal="center"/>
    </xf>
    <xf numFmtId="0" fontId="0" fillId="0" borderId="0" xfId="0" applyAlignment="1">
      <alignment vertical="center" wrapText="1"/>
    </xf>
    <xf numFmtId="0" fontId="0" fillId="6" borderId="4" xfId="0" applyFill="1" applyBorder="1" applyAlignment="1">
      <alignment horizontal="center" vertical="center"/>
    </xf>
    <xf numFmtId="0" fontId="0" fillId="6" borderId="5" xfId="0" applyFill="1" applyBorder="1" applyAlignment="1">
      <alignment horizontal="center"/>
    </xf>
    <xf numFmtId="0" fontId="0" fillId="0" borderId="1" xfId="0" applyBorder="1"/>
    <xf numFmtId="0" fontId="0" fillId="0" borderId="4" xfId="0" applyBorder="1"/>
    <xf numFmtId="0" fontId="0" fillId="0" borderId="6" xfId="0" applyBorder="1"/>
    <xf numFmtId="0" fontId="0" fillId="0" borderId="5" xfId="0" applyBorder="1"/>
    <xf numFmtId="0" fontId="0" fillId="10" borderId="1" xfId="0" applyFill="1" applyBorder="1" applyAlignment="1">
      <alignment horizontal="center"/>
    </xf>
    <xf numFmtId="0" fontId="0" fillId="12" borderId="0" xfId="0" applyFill="1" applyAlignment="1">
      <alignment horizontal="center"/>
    </xf>
    <xf numFmtId="0" fontId="0" fillId="0" borderId="4" xfId="0" applyBorder="1" applyAlignment="1">
      <alignment horizontal="center"/>
    </xf>
    <xf numFmtId="0" fontId="0" fillId="9" borderId="1" xfId="0" applyFill="1" applyBorder="1" applyAlignment="1">
      <alignment horizontal="center" vertical="center"/>
    </xf>
    <xf numFmtId="0" fontId="0" fillId="9" borderId="4" xfId="0" applyFill="1" applyBorder="1"/>
    <xf numFmtId="0" fontId="0" fillId="12" borderId="0" xfId="0" applyFill="1" applyAlignment="1">
      <alignment horizontal="center" vertical="center"/>
    </xf>
    <xf numFmtId="0" fontId="0" fillId="9" borderId="6" xfId="0" applyFill="1" applyBorder="1"/>
    <xf numFmtId="0" fontId="0" fillId="9" borderId="5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93"/>
  <sheetViews>
    <sheetView zoomScaleNormal="100" workbookViewId="0">
      <pane ySplit="1" topLeftCell="A2" activePane="bottomLeft" state="frozen"/>
      <selection pane="bottomLeft" activeCell="M1" sqref="M1:M1048576"/>
    </sheetView>
  </sheetViews>
  <sheetFormatPr defaultRowHeight="15" x14ac:dyDescent="0.25"/>
  <cols>
    <col min="5" max="5" width="36.85546875" customWidth="1"/>
    <col min="6" max="6" width="8.85546875" style="34"/>
    <col min="7" max="7" width="14.28515625" customWidth="1"/>
    <col min="8" max="8" width="13.7109375" customWidth="1"/>
    <col min="12" max="12" width="33.5703125" customWidth="1"/>
    <col min="13" max="13" width="8.85546875" style="72"/>
    <col min="14" max="14" width="13.7109375" customWidth="1"/>
    <col min="18" max="18" width="10.85546875" customWidth="1"/>
  </cols>
  <sheetData>
    <row r="1" spans="1:24" ht="46.5" customHeight="1" thickBot="1" x14ac:dyDescent="0.3">
      <c r="A1" t="s">
        <v>366</v>
      </c>
      <c r="B1" t="s">
        <v>394</v>
      </c>
      <c r="C1" s="7" t="s">
        <v>0</v>
      </c>
      <c r="D1" s="8" t="s">
        <v>1</v>
      </c>
      <c r="E1" s="8" t="s">
        <v>2</v>
      </c>
      <c r="F1" s="27" t="s">
        <v>367</v>
      </c>
      <c r="G1" s="8" t="s">
        <v>368</v>
      </c>
      <c r="H1" s="11" t="s">
        <v>369</v>
      </c>
      <c r="I1" s="11" t="s">
        <v>370</v>
      </c>
      <c r="J1" s="11" t="s">
        <v>371</v>
      </c>
      <c r="K1" s="11" t="s">
        <v>381</v>
      </c>
      <c r="L1" s="11" t="s">
        <v>372</v>
      </c>
      <c r="M1" s="70" t="s">
        <v>374</v>
      </c>
      <c r="N1" s="11" t="s">
        <v>392</v>
      </c>
      <c r="O1" s="11" t="s">
        <v>393</v>
      </c>
      <c r="P1" s="11" t="s">
        <v>398</v>
      </c>
      <c r="Q1" s="11" t="s">
        <v>396</v>
      </c>
      <c r="R1" s="11" t="s">
        <v>397</v>
      </c>
      <c r="S1" s="11" t="s">
        <v>395</v>
      </c>
      <c r="T1" s="11" t="s">
        <v>1443</v>
      </c>
      <c r="U1" s="11" t="s">
        <v>1444</v>
      </c>
    </row>
    <row r="2" spans="1:24" s="50" customFormat="1" x14ac:dyDescent="0.25">
      <c r="A2" s="50" t="str">
        <f t="shared" ref="A2:A33" si="0">C2&amp;D2</f>
        <v>A1</v>
      </c>
      <c r="B2" s="50">
        <v>999</v>
      </c>
      <c r="C2" s="49" t="s">
        <v>36</v>
      </c>
      <c r="D2" s="50">
        <v>1</v>
      </c>
      <c r="E2" s="55" t="s">
        <v>142</v>
      </c>
      <c r="F2" s="63" t="s">
        <v>60</v>
      </c>
      <c r="G2" s="50">
        <v>803</v>
      </c>
      <c r="H2" s="64">
        <v>0.5</v>
      </c>
      <c r="I2" s="64">
        <v>0.55208333333333337</v>
      </c>
      <c r="J2" s="64">
        <f>I2-H2</f>
        <v>5.208333333333337E-2</v>
      </c>
      <c r="K2" s="65">
        <v>1.25</v>
      </c>
      <c r="L2" s="50" t="s">
        <v>373</v>
      </c>
      <c r="M2" s="71">
        <v>0</v>
      </c>
      <c r="T2" s="50">
        <v>1</v>
      </c>
      <c r="U2" s="50" t="s">
        <v>1445</v>
      </c>
      <c r="X2" s="64">
        <v>0.5</v>
      </c>
    </row>
    <row r="3" spans="1:24" x14ac:dyDescent="0.25">
      <c r="A3" t="str">
        <f t="shared" si="0"/>
        <v>B1</v>
      </c>
      <c r="B3">
        <v>101</v>
      </c>
      <c r="C3" s="6" t="s">
        <v>39</v>
      </c>
      <c r="D3">
        <v>1</v>
      </c>
      <c r="E3" s="18" t="s">
        <v>40</v>
      </c>
      <c r="F3" s="31" t="s">
        <v>49</v>
      </c>
      <c r="G3" s="5">
        <v>1222</v>
      </c>
      <c r="H3" s="12">
        <v>0.50347222222222221</v>
      </c>
      <c r="I3" s="12">
        <v>0.1875</v>
      </c>
      <c r="J3" s="12">
        <f>(I3-(H3-H$2))+X$2</f>
        <v>0.68402777777777779</v>
      </c>
      <c r="K3" s="13">
        <v>16.5</v>
      </c>
      <c r="L3" t="s">
        <v>375</v>
      </c>
      <c r="M3" s="72">
        <v>1</v>
      </c>
      <c r="V3" s="12"/>
    </row>
    <row r="4" spans="1:24" x14ac:dyDescent="0.25">
      <c r="A4" t="str">
        <f t="shared" si="0"/>
        <v>C1</v>
      </c>
      <c r="B4">
        <v>109</v>
      </c>
      <c r="C4" s="25" t="s">
        <v>43</v>
      </c>
      <c r="D4">
        <v>1</v>
      </c>
      <c r="E4" s="17" t="s">
        <v>146</v>
      </c>
      <c r="F4" s="32" t="s">
        <v>49</v>
      </c>
      <c r="G4" s="26">
        <v>1065.9000000000001</v>
      </c>
      <c r="H4" s="12">
        <v>0.50694444444444398</v>
      </c>
      <c r="I4" s="12">
        <v>0.4375</v>
      </c>
      <c r="J4" s="12">
        <f>(I4-(H4-H$2))+X$2</f>
        <v>0.93055555555555602</v>
      </c>
      <c r="K4" s="13">
        <v>22.25</v>
      </c>
      <c r="L4" t="s">
        <v>380</v>
      </c>
      <c r="M4" s="72">
        <v>0</v>
      </c>
    </row>
    <row r="5" spans="1:24" x14ac:dyDescent="0.25">
      <c r="A5" s="50" t="str">
        <f t="shared" si="0"/>
        <v>D1</v>
      </c>
      <c r="B5" s="50"/>
      <c r="C5" s="49" t="s">
        <v>45</v>
      </c>
      <c r="D5" s="50">
        <v>1</v>
      </c>
      <c r="E5" s="54" t="s">
        <v>146</v>
      </c>
      <c r="F5" s="63" t="s">
        <v>49</v>
      </c>
      <c r="G5" s="50">
        <v>1224</v>
      </c>
      <c r="H5" s="64">
        <v>0.52430555555555503</v>
      </c>
      <c r="I5" s="64">
        <v>0.55208333333333337</v>
      </c>
      <c r="J5" s="64">
        <f>I5-H5</f>
        <v>2.7777777777778345E-2</v>
      </c>
      <c r="K5" s="65">
        <v>0.75</v>
      </c>
      <c r="L5" s="50" t="s">
        <v>376</v>
      </c>
      <c r="M5" s="71">
        <v>0</v>
      </c>
      <c r="N5" s="50"/>
      <c r="O5" s="50"/>
      <c r="P5" s="50"/>
      <c r="Q5" s="50"/>
      <c r="R5" s="50"/>
      <c r="S5" s="50"/>
      <c r="T5" s="50">
        <v>1</v>
      </c>
      <c r="U5" s="50" t="s">
        <v>1445</v>
      </c>
    </row>
    <row r="6" spans="1:24" x14ac:dyDescent="0.25">
      <c r="A6" t="str">
        <f t="shared" si="0"/>
        <v>E1</v>
      </c>
      <c r="B6">
        <v>108</v>
      </c>
      <c r="C6" s="25" t="s">
        <v>47</v>
      </c>
      <c r="D6">
        <v>1</v>
      </c>
      <c r="E6" s="17" t="s">
        <v>146</v>
      </c>
      <c r="F6" s="32" t="s">
        <v>60</v>
      </c>
      <c r="G6" s="26">
        <v>1174</v>
      </c>
      <c r="H6" s="12">
        <v>0.55208333333333304</v>
      </c>
      <c r="I6" s="12">
        <v>0.43055555555555558</v>
      </c>
      <c r="J6" s="12">
        <f t="shared" ref="J6:J16" si="1">(I6-(H6-H$2))+X$2</f>
        <v>0.87847222222222254</v>
      </c>
      <c r="K6" s="13">
        <v>21</v>
      </c>
      <c r="L6" t="s">
        <v>380</v>
      </c>
      <c r="M6" s="72">
        <v>0</v>
      </c>
      <c r="O6">
        <v>0</v>
      </c>
      <c r="P6">
        <v>0</v>
      </c>
      <c r="Q6">
        <v>0</v>
      </c>
      <c r="S6">
        <v>0</v>
      </c>
    </row>
    <row r="7" spans="1:24" x14ac:dyDescent="0.25">
      <c r="A7" t="str">
        <f t="shared" si="0"/>
        <v>F1</v>
      </c>
      <c r="B7">
        <v>105</v>
      </c>
      <c r="C7" s="6" t="s">
        <v>49</v>
      </c>
      <c r="D7">
        <v>1</v>
      </c>
      <c r="E7" s="22" t="s">
        <v>40</v>
      </c>
      <c r="F7" s="31" t="s">
        <v>49</v>
      </c>
      <c r="G7" s="5">
        <v>1038.5</v>
      </c>
      <c r="H7" s="12">
        <v>0.52083333333333304</v>
      </c>
      <c r="I7" s="14">
        <v>0.3923611111111111</v>
      </c>
      <c r="J7" s="12">
        <f t="shared" si="1"/>
        <v>0.87152777777777812</v>
      </c>
      <c r="K7" s="13">
        <v>21</v>
      </c>
      <c r="L7" t="s">
        <v>375</v>
      </c>
      <c r="M7" s="72">
        <v>1</v>
      </c>
      <c r="O7">
        <v>1</v>
      </c>
      <c r="P7">
        <v>0</v>
      </c>
      <c r="Q7">
        <v>1</v>
      </c>
      <c r="S7">
        <v>1</v>
      </c>
    </row>
    <row r="8" spans="1:24" x14ac:dyDescent="0.25">
      <c r="A8" t="str">
        <f t="shared" si="0"/>
        <v>G1</v>
      </c>
      <c r="B8">
        <v>106</v>
      </c>
      <c r="C8" s="25" t="s">
        <v>51</v>
      </c>
      <c r="D8">
        <v>1</v>
      </c>
      <c r="E8" s="17" t="s">
        <v>146</v>
      </c>
      <c r="F8" s="32" t="s">
        <v>49</v>
      </c>
      <c r="G8" s="26">
        <v>932.1</v>
      </c>
      <c r="H8" s="12">
        <v>0.54166666666666696</v>
      </c>
      <c r="I8" s="12">
        <v>0.41666666666666669</v>
      </c>
      <c r="J8" s="12">
        <f t="shared" si="1"/>
        <v>0.87499999999999978</v>
      </c>
      <c r="K8" s="13">
        <v>21</v>
      </c>
      <c r="L8" t="s">
        <v>380</v>
      </c>
      <c r="M8" s="72">
        <v>0</v>
      </c>
      <c r="O8">
        <v>0</v>
      </c>
      <c r="P8">
        <v>0</v>
      </c>
      <c r="Q8">
        <v>1</v>
      </c>
      <c r="S8">
        <v>1</v>
      </c>
    </row>
    <row r="9" spans="1:24" s="50" customFormat="1" x14ac:dyDescent="0.25">
      <c r="A9" t="str">
        <f t="shared" si="0"/>
        <v>H1</v>
      </c>
      <c r="B9">
        <v>111</v>
      </c>
      <c r="C9" s="1" t="s">
        <v>53</v>
      </c>
      <c r="D9">
        <v>1</v>
      </c>
      <c r="E9" s="4" t="s">
        <v>54</v>
      </c>
      <c r="F9" s="33" t="s">
        <v>60</v>
      </c>
      <c r="G9" s="10">
        <v>1165</v>
      </c>
      <c r="H9" s="12">
        <v>0.51388888888888895</v>
      </c>
      <c r="I9" s="12">
        <v>0.4513888888888889</v>
      </c>
      <c r="J9" s="12">
        <f t="shared" si="1"/>
        <v>0.9375</v>
      </c>
      <c r="K9" s="13">
        <v>22.5</v>
      </c>
      <c r="L9" t="s">
        <v>380</v>
      </c>
      <c r="M9" s="72">
        <v>0</v>
      </c>
      <c r="N9"/>
      <c r="O9">
        <v>0</v>
      </c>
      <c r="P9">
        <v>0</v>
      </c>
      <c r="Q9">
        <v>0</v>
      </c>
      <c r="R9"/>
      <c r="S9">
        <v>0</v>
      </c>
      <c r="T9"/>
      <c r="U9"/>
    </row>
    <row r="10" spans="1:24" x14ac:dyDescent="0.25">
      <c r="A10" t="str">
        <f t="shared" si="0"/>
        <v>I1</v>
      </c>
      <c r="B10">
        <v>107</v>
      </c>
      <c r="C10" s="6" t="s">
        <v>56</v>
      </c>
      <c r="D10">
        <v>1</v>
      </c>
      <c r="E10" s="18" t="s">
        <v>40</v>
      </c>
      <c r="F10" s="31" t="s">
        <v>60</v>
      </c>
      <c r="G10" s="5">
        <v>1075</v>
      </c>
      <c r="H10" s="12">
        <v>0.53819444444444398</v>
      </c>
      <c r="I10" s="12">
        <v>0.4236111111111111</v>
      </c>
      <c r="J10" s="12">
        <f t="shared" si="1"/>
        <v>0.88541666666666718</v>
      </c>
      <c r="K10" s="13">
        <v>21.25</v>
      </c>
      <c r="L10" t="s">
        <v>380</v>
      </c>
      <c r="M10" s="72">
        <v>0</v>
      </c>
      <c r="O10">
        <v>0</v>
      </c>
      <c r="P10">
        <v>0</v>
      </c>
      <c r="Q10">
        <v>1</v>
      </c>
      <c r="S10">
        <v>1</v>
      </c>
    </row>
    <row r="11" spans="1:24" x14ac:dyDescent="0.25">
      <c r="A11" t="str">
        <f t="shared" si="0"/>
        <v>J1</v>
      </c>
      <c r="B11">
        <v>100</v>
      </c>
      <c r="C11" s="24" t="s">
        <v>80</v>
      </c>
      <c r="D11">
        <v>1</v>
      </c>
      <c r="E11" s="15" t="s">
        <v>142</v>
      </c>
      <c r="F11" s="30" t="s">
        <v>60</v>
      </c>
      <c r="G11" s="36">
        <v>1324.5</v>
      </c>
      <c r="H11" s="12">
        <v>0.51736111111111105</v>
      </c>
      <c r="I11" s="12">
        <v>0.10416666666666667</v>
      </c>
      <c r="J11" s="12">
        <f t="shared" si="1"/>
        <v>0.58680555555555558</v>
      </c>
      <c r="K11" s="13">
        <v>14</v>
      </c>
      <c r="L11" t="s">
        <v>375</v>
      </c>
      <c r="M11" s="72">
        <v>1</v>
      </c>
    </row>
    <row r="12" spans="1:24" x14ac:dyDescent="0.25">
      <c r="A12" t="str">
        <f t="shared" si="0"/>
        <v>K1</v>
      </c>
      <c r="B12">
        <v>110</v>
      </c>
      <c r="C12" s="2" t="s">
        <v>82</v>
      </c>
      <c r="D12">
        <v>1</v>
      </c>
      <c r="E12" s="23" t="s">
        <v>71</v>
      </c>
      <c r="F12" s="110" t="s">
        <v>60</v>
      </c>
      <c r="G12" s="9">
        <v>1206.8</v>
      </c>
      <c r="H12" s="12">
        <v>0.51041666666666696</v>
      </c>
      <c r="I12" s="12">
        <v>0.44444444444444442</v>
      </c>
      <c r="J12" s="12">
        <f t="shared" si="1"/>
        <v>0.93402777777777746</v>
      </c>
      <c r="K12" s="13">
        <v>22.5</v>
      </c>
      <c r="L12" t="s">
        <v>380</v>
      </c>
      <c r="M12" s="72">
        <v>0</v>
      </c>
    </row>
    <row r="13" spans="1:24" x14ac:dyDescent="0.25">
      <c r="A13" t="str">
        <f t="shared" si="0"/>
        <v>L1</v>
      </c>
      <c r="B13">
        <v>113</v>
      </c>
      <c r="C13" s="1" t="s">
        <v>58</v>
      </c>
      <c r="D13">
        <v>1</v>
      </c>
      <c r="E13" s="4" t="s">
        <v>54</v>
      </c>
      <c r="F13" s="33" t="s">
        <v>49</v>
      </c>
      <c r="G13" s="10">
        <v>1129</v>
      </c>
      <c r="H13" s="12">
        <v>0.53125</v>
      </c>
      <c r="I13" s="12">
        <v>0.46527777777777773</v>
      </c>
      <c r="J13" s="12">
        <f t="shared" si="1"/>
        <v>0.93402777777777768</v>
      </c>
      <c r="K13" s="13">
        <v>22.5</v>
      </c>
      <c r="L13" t="s">
        <v>380</v>
      </c>
      <c r="M13" s="72">
        <v>0</v>
      </c>
      <c r="O13">
        <v>0</v>
      </c>
      <c r="P13">
        <v>0</v>
      </c>
      <c r="Q13">
        <v>0</v>
      </c>
      <c r="S13">
        <v>0</v>
      </c>
    </row>
    <row r="14" spans="1:24" x14ac:dyDescent="0.25">
      <c r="A14" t="str">
        <f t="shared" si="0"/>
        <v>M1</v>
      </c>
      <c r="B14">
        <v>114</v>
      </c>
      <c r="C14" s="24" t="s">
        <v>60</v>
      </c>
      <c r="D14">
        <v>1</v>
      </c>
      <c r="E14" s="15" t="s">
        <v>142</v>
      </c>
      <c r="F14" s="30" t="s">
        <v>49</v>
      </c>
      <c r="G14" s="36">
        <v>1191</v>
      </c>
      <c r="H14" s="12">
        <v>0.53472222222222199</v>
      </c>
      <c r="I14" s="12">
        <v>0.47222222222222227</v>
      </c>
      <c r="J14" s="12">
        <f t="shared" si="1"/>
        <v>0.93750000000000022</v>
      </c>
      <c r="K14" s="13">
        <v>22.5</v>
      </c>
      <c r="L14" t="s">
        <v>380</v>
      </c>
      <c r="M14" s="72">
        <v>0</v>
      </c>
      <c r="O14">
        <v>0</v>
      </c>
      <c r="P14">
        <v>0</v>
      </c>
      <c r="Q14">
        <v>0</v>
      </c>
      <c r="S14">
        <v>0</v>
      </c>
    </row>
    <row r="15" spans="1:24" s="50" customFormat="1" x14ac:dyDescent="0.25">
      <c r="A15" t="str">
        <f t="shared" si="0"/>
        <v>N1</v>
      </c>
      <c r="B15">
        <v>102</v>
      </c>
      <c r="C15" s="6" t="s">
        <v>62</v>
      </c>
      <c r="D15">
        <v>1</v>
      </c>
      <c r="E15" s="22" t="s">
        <v>40</v>
      </c>
      <c r="F15" s="31" t="s">
        <v>60</v>
      </c>
      <c r="G15" s="5">
        <v>1468</v>
      </c>
      <c r="H15" s="12">
        <v>0.54861111111111105</v>
      </c>
      <c r="I15" s="12">
        <v>0.21875</v>
      </c>
      <c r="J15" s="12">
        <f t="shared" si="1"/>
        <v>0.67013888888888895</v>
      </c>
      <c r="K15" s="13">
        <v>16</v>
      </c>
      <c r="L15" t="s">
        <v>378</v>
      </c>
      <c r="M15" s="72">
        <v>1</v>
      </c>
      <c r="N15"/>
      <c r="O15"/>
      <c r="P15"/>
      <c r="Q15"/>
      <c r="R15"/>
      <c r="S15"/>
      <c r="T15"/>
      <c r="U15"/>
    </row>
    <row r="16" spans="1:24" x14ac:dyDescent="0.25">
      <c r="A16" t="str">
        <f t="shared" si="0"/>
        <v>O1</v>
      </c>
      <c r="B16">
        <v>103</v>
      </c>
      <c r="C16" s="25" t="s">
        <v>64</v>
      </c>
      <c r="D16">
        <v>1</v>
      </c>
      <c r="E16" s="17" t="s">
        <v>146</v>
      </c>
      <c r="F16" s="32" t="s">
        <v>60</v>
      </c>
      <c r="G16" s="26">
        <v>1314.8</v>
      </c>
      <c r="H16" s="12">
        <v>0.55902777777777801</v>
      </c>
      <c r="I16" s="12">
        <v>0.26041666666666669</v>
      </c>
      <c r="J16" s="12">
        <f t="shared" si="1"/>
        <v>0.70138888888888862</v>
      </c>
      <c r="K16" s="13">
        <v>16.75</v>
      </c>
      <c r="L16" t="s">
        <v>375</v>
      </c>
      <c r="M16" s="72">
        <v>1</v>
      </c>
    </row>
    <row r="17" spans="1:21" x14ac:dyDescent="0.25">
      <c r="A17" s="50" t="str">
        <f t="shared" si="0"/>
        <v>P1</v>
      </c>
      <c r="B17" s="50"/>
      <c r="C17" s="49" t="s">
        <v>66</v>
      </c>
      <c r="D17" s="50">
        <v>1</v>
      </c>
      <c r="E17" s="54" t="s">
        <v>142</v>
      </c>
      <c r="F17" s="63" t="s">
        <v>60</v>
      </c>
      <c r="G17" s="50">
        <v>981</v>
      </c>
      <c r="H17" s="64">
        <v>0.54513888888888895</v>
      </c>
      <c r="I17" s="64">
        <v>0.79166666666666663</v>
      </c>
      <c r="J17" s="64">
        <f>I17-H17</f>
        <v>0.24652777777777768</v>
      </c>
      <c r="K17" s="65">
        <v>6</v>
      </c>
      <c r="L17" s="50" t="s">
        <v>377</v>
      </c>
      <c r="M17" s="71">
        <v>0</v>
      </c>
      <c r="N17" s="50"/>
      <c r="O17" s="50"/>
      <c r="P17" s="50"/>
      <c r="Q17" s="50"/>
      <c r="R17" s="50"/>
      <c r="S17" s="50"/>
      <c r="T17" s="50">
        <v>1</v>
      </c>
      <c r="U17" s="50" t="s">
        <v>1445</v>
      </c>
    </row>
    <row r="18" spans="1:21" x14ac:dyDescent="0.25">
      <c r="A18" t="str">
        <f t="shared" si="0"/>
        <v>R1</v>
      </c>
      <c r="B18">
        <v>104</v>
      </c>
      <c r="C18" s="24" t="s">
        <v>68</v>
      </c>
      <c r="D18">
        <v>1</v>
      </c>
      <c r="E18" s="16" t="s">
        <v>142</v>
      </c>
      <c r="F18" s="30" t="s">
        <v>49</v>
      </c>
      <c r="G18" s="36">
        <v>988.2</v>
      </c>
      <c r="H18" s="12">
        <v>0.55555555555555503</v>
      </c>
      <c r="I18" s="12">
        <v>0.38541666666666669</v>
      </c>
      <c r="J18" s="12">
        <f t="shared" ref="J18:J26" si="2">(I18-(H18-H$2))+X$2</f>
        <v>0.8298611111111116</v>
      </c>
      <c r="K18" s="13">
        <v>20</v>
      </c>
      <c r="L18" t="s">
        <v>379</v>
      </c>
      <c r="M18" s="73">
        <v>1</v>
      </c>
      <c r="O18">
        <v>1</v>
      </c>
      <c r="P18">
        <v>0</v>
      </c>
      <c r="Q18">
        <v>0</v>
      </c>
      <c r="S18">
        <v>0</v>
      </c>
      <c r="U18" t="s">
        <v>1446</v>
      </c>
    </row>
    <row r="19" spans="1:21" x14ac:dyDescent="0.25">
      <c r="A19" t="str">
        <f t="shared" si="0"/>
        <v>S1</v>
      </c>
      <c r="B19">
        <v>112</v>
      </c>
      <c r="C19" s="2" t="s">
        <v>70</v>
      </c>
      <c r="D19">
        <v>1</v>
      </c>
      <c r="E19" s="3" t="s">
        <v>71</v>
      </c>
      <c r="F19" s="110" t="s">
        <v>49</v>
      </c>
      <c r="G19" s="9">
        <v>1004</v>
      </c>
      <c r="H19" s="12">
        <v>0.52777777777777801</v>
      </c>
      <c r="I19" s="12">
        <v>0.45833333333333331</v>
      </c>
      <c r="J19" s="12">
        <f t="shared" si="2"/>
        <v>0.93055555555555536</v>
      </c>
      <c r="K19" s="13">
        <v>22.25</v>
      </c>
      <c r="L19" t="s">
        <v>380</v>
      </c>
      <c r="M19" s="72">
        <v>0</v>
      </c>
      <c r="O19">
        <v>0</v>
      </c>
      <c r="P19">
        <v>0</v>
      </c>
      <c r="Q19">
        <v>1</v>
      </c>
      <c r="S19">
        <v>0</v>
      </c>
    </row>
    <row r="20" spans="1:21" x14ac:dyDescent="0.25">
      <c r="A20" t="str">
        <f t="shared" si="0"/>
        <v>A2</v>
      </c>
      <c r="B20">
        <v>117</v>
      </c>
      <c r="C20" s="15" t="s">
        <v>36</v>
      </c>
      <c r="D20">
        <v>2</v>
      </c>
      <c r="E20" s="16" t="s">
        <v>142</v>
      </c>
      <c r="F20" s="122" t="s">
        <v>383</v>
      </c>
      <c r="G20" s="123">
        <v>1210</v>
      </c>
      <c r="H20" s="12">
        <v>0.5625</v>
      </c>
      <c r="I20" s="12">
        <v>9.375E-2</v>
      </c>
      <c r="J20" s="12">
        <f t="shared" si="2"/>
        <v>0.53125</v>
      </c>
      <c r="K20" s="13">
        <v>12.75</v>
      </c>
      <c r="L20" t="s">
        <v>375</v>
      </c>
      <c r="M20" s="72">
        <v>1</v>
      </c>
      <c r="O20">
        <v>0</v>
      </c>
      <c r="P20">
        <v>0</v>
      </c>
      <c r="Q20">
        <v>1</v>
      </c>
      <c r="R20">
        <v>0</v>
      </c>
      <c r="S20">
        <v>0</v>
      </c>
    </row>
    <row r="21" spans="1:21" x14ac:dyDescent="0.25">
      <c r="A21" t="str">
        <f t="shared" si="0"/>
        <v>B2</v>
      </c>
      <c r="B21">
        <v>123</v>
      </c>
      <c r="C21" s="15" t="s">
        <v>39</v>
      </c>
      <c r="D21">
        <v>2</v>
      </c>
      <c r="E21" s="15" t="s">
        <v>142</v>
      </c>
      <c r="F21" s="29" t="s">
        <v>382</v>
      </c>
      <c r="G21" s="20">
        <v>1015</v>
      </c>
      <c r="H21" s="12">
        <v>0.57986111111111105</v>
      </c>
      <c r="I21" s="12">
        <v>0.38194444444444442</v>
      </c>
      <c r="J21" s="12">
        <f t="shared" si="2"/>
        <v>0.80208333333333337</v>
      </c>
      <c r="K21" s="13">
        <v>19.25</v>
      </c>
      <c r="L21" t="s">
        <v>579</v>
      </c>
      <c r="M21" s="72">
        <v>1</v>
      </c>
      <c r="N21">
        <v>1</v>
      </c>
      <c r="O21">
        <v>0</v>
      </c>
      <c r="P21">
        <v>1</v>
      </c>
      <c r="Q21">
        <v>0</v>
      </c>
      <c r="R21">
        <v>0</v>
      </c>
      <c r="S21">
        <v>0</v>
      </c>
    </row>
    <row r="22" spans="1:21" x14ac:dyDescent="0.25">
      <c r="A22" t="str">
        <f t="shared" si="0"/>
        <v>C2</v>
      </c>
      <c r="B22">
        <v>126</v>
      </c>
      <c r="C22" s="15" t="s">
        <v>43</v>
      </c>
      <c r="D22">
        <v>2</v>
      </c>
      <c r="E22" s="15" t="s">
        <v>142</v>
      </c>
      <c r="F22" s="29" t="s">
        <v>382</v>
      </c>
      <c r="G22" s="20">
        <v>1210</v>
      </c>
      <c r="H22" s="12">
        <v>0.57638888888888895</v>
      </c>
      <c r="I22" s="12">
        <v>0.40277777777777773</v>
      </c>
      <c r="J22" s="12">
        <f t="shared" si="2"/>
        <v>0.82638888888888884</v>
      </c>
      <c r="K22" s="13">
        <v>19.75</v>
      </c>
      <c r="L22" t="s">
        <v>380</v>
      </c>
      <c r="M22" s="72">
        <v>0</v>
      </c>
      <c r="N22">
        <v>1</v>
      </c>
      <c r="O22">
        <v>0</v>
      </c>
      <c r="P22">
        <v>0</v>
      </c>
      <c r="Q22">
        <v>0</v>
      </c>
      <c r="R22">
        <v>1</v>
      </c>
      <c r="S22">
        <v>0</v>
      </c>
    </row>
    <row r="23" spans="1:21" x14ac:dyDescent="0.25">
      <c r="A23" t="str">
        <f t="shared" si="0"/>
        <v>D2</v>
      </c>
      <c r="B23">
        <v>136</v>
      </c>
      <c r="C23" s="17" t="s">
        <v>45</v>
      </c>
      <c r="D23">
        <v>2</v>
      </c>
      <c r="E23" s="17" t="s">
        <v>146</v>
      </c>
      <c r="F23" s="107" t="s">
        <v>382</v>
      </c>
      <c r="G23" s="118">
        <v>1041</v>
      </c>
      <c r="H23" s="12">
        <v>0.53819444444444398</v>
      </c>
      <c r="I23" s="12">
        <v>0.47222222222222227</v>
      </c>
      <c r="J23" s="12">
        <f t="shared" si="2"/>
        <v>0.93402777777777835</v>
      </c>
      <c r="K23" s="13">
        <v>22.5</v>
      </c>
      <c r="L23" t="s">
        <v>380</v>
      </c>
      <c r="M23" s="72">
        <v>0</v>
      </c>
      <c r="O23">
        <v>0</v>
      </c>
      <c r="P23">
        <v>0</v>
      </c>
      <c r="Q23">
        <v>0</v>
      </c>
      <c r="R23">
        <v>0</v>
      </c>
      <c r="S23">
        <v>1</v>
      </c>
    </row>
    <row r="24" spans="1:21" x14ac:dyDescent="0.25">
      <c r="A24" t="str">
        <f t="shared" si="0"/>
        <v>E2</v>
      </c>
      <c r="B24">
        <v>133</v>
      </c>
      <c r="C24" s="17" t="s">
        <v>47</v>
      </c>
      <c r="D24">
        <v>2</v>
      </c>
      <c r="E24" s="17" t="s">
        <v>146</v>
      </c>
      <c r="F24" s="107" t="s">
        <v>382</v>
      </c>
      <c r="G24" s="118">
        <v>1260.5999999999999</v>
      </c>
      <c r="H24" s="12">
        <v>0.52083333333333304</v>
      </c>
      <c r="I24" s="12">
        <v>0.4513888888888889</v>
      </c>
      <c r="J24" s="12">
        <f t="shared" si="2"/>
        <v>0.9305555555555558</v>
      </c>
      <c r="K24" s="13">
        <v>22.25</v>
      </c>
      <c r="L24" t="s">
        <v>380</v>
      </c>
      <c r="M24" s="72">
        <v>0</v>
      </c>
      <c r="O24">
        <v>1</v>
      </c>
      <c r="P24">
        <v>0</v>
      </c>
      <c r="Q24">
        <v>0</v>
      </c>
      <c r="R24">
        <v>0</v>
      </c>
      <c r="S24">
        <v>0</v>
      </c>
    </row>
    <row r="25" spans="1:21" x14ac:dyDescent="0.25">
      <c r="A25" t="str">
        <f t="shared" si="0"/>
        <v>F2</v>
      </c>
      <c r="B25">
        <v>119</v>
      </c>
      <c r="C25" s="18" t="s">
        <v>49</v>
      </c>
      <c r="D25">
        <v>2</v>
      </c>
      <c r="E25" s="18" t="s">
        <v>40</v>
      </c>
      <c r="F25" s="108" t="s">
        <v>383</v>
      </c>
      <c r="G25" s="111">
        <v>1189</v>
      </c>
      <c r="H25" s="12">
        <v>0.57291666666666596</v>
      </c>
      <c r="I25" s="12">
        <v>0.11805555555555557</v>
      </c>
      <c r="J25" s="12">
        <f t="shared" si="2"/>
        <v>0.54513888888888962</v>
      </c>
      <c r="K25" s="13">
        <v>13</v>
      </c>
      <c r="L25" t="s">
        <v>375</v>
      </c>
      <c r="M25" s="72">
        <v>1</v>
      </c>
      <c r="O25">
        <v>0</v>
      </c>
    </row>
    <row r="26" spans="1:21" x14ac:dyDescent="0.25">
      <c r="A26" t="str">
        <f t="shared" si="0"/>
        <v>G2</v>
      </c>
      <c r="B26">
        <v>135</v>
      </c>
      <c r="C26" s="4" t="s">
        <v>51</v>
      </c>
      <c r="D26">
        <v>2</v>
      </c>
      <c r="E26" s="4" t="s">
        <v>54</v>
      </c>
      <c r="F26" s="109" t="s">
        <v>382</v>
      </c>
      <c r="G26" s="119">
        <v>1387</v>
      </c>
      <c r="H26" s="12">
        <v>0.53125</v>
      </c>
      <c r="I26" s="12">
        <v>0.46527777777777773</v>
      </c>
      <c r="J26" s="12">
        <f t="shared" si="2"/>
        <v>0.93402777777777768</v>
      </c>
      <c r="K26" s="13">
        <v>22.5</v>
      </c>
      <c r="L26" t="s">
        <v>380</v>
      </c>
      <c r="M26" s="72">
        <v>0</v>
      </c>
      <c r="O26">
        <v>0</v>
      </c>
      <c r="P26">
        <v>0</v>
      </c>
      <c r="Q26">
        <v>0</v>
      </c>
      <c r="R26">
        <v>0</v>
      </c>
      <c r="S26">
        <v>1</v>
      </c>
    </row>
    <row r="27" spans="1:21" x14ac:dyDescent="0.25">
      <c r="A27" t="str">
        <f t="shared" si="0"/>
        <v>H2</v>
      </c>
      <c r="B27">
        <v>999</v>
      </c>
      <c r="C27" s="18" t="s">
        <v>53</v>
      </c>
      <c r="D27">
        <v>2</v>
      </c>
      <c r="E27" s="18" t="s">
        <v>40</v>
      </c>
      <c r="F27" s="108" t="s">
        <v>383</v>
      </c>
      <c r="G27" s="111">
        <v>1243</v>
      </c>
      <c r="H27" s="12">
        <v>0.55902777777777801</v>
      </c>
      <c r="I27" s="12">
        <v>0.8125</v>
      </c>
      <c r="J27" s="12">
        <f>I27-H27</f>
        <v>0.25347222222222199</v>
      </c>
      <c r="K27" s="13">
        <v>6</v>
      </c>
      <c r="L27" t="s">
        <v>391</v>
      </c>
      <c r="M27" s="72">
        <v>0</v>
      </c>
    </row>
    <row r="28" spans="1:21" x14ac:dyDescent="0.25">
      <c r="A28" t="str">
        <f t="shared" si="0"/>
        <v>I2</v>
      </c>
      <c r="B28">
        <v>132</v>
      </c>
      <c r="C28" s="4" t="s">
        <v>56</v>
      </c>
      <c r="D28">
        <v>2</v>
      </c>
      <c r="E28" s="4" t="s">
        <v>54</v>
      </c>
      <c r="F28" s="109" t="s">
        <v>383</v>
      </c>
      <c r="G28" s="119">
        <v>1015.2</v>
      </c>
      <c r="H28" s="12">
        <v>0.51388888888888895</v>
      </c>
      <c r="I28" s="12">
        <v>0.44444444444444442</v>
      </c>
      <c r="J28" s="12">
        <f t="shared" ref="J28:J49" si="3">(I28-(H28-H$2))+X$2</f>
        <v>0.93055555555555547</v>
      </c>
      <c r="K28" s="13">
        <v>22.25</v>
      </c>
      <c r="L28" t="s">
        <v>380</v>
      </c>
      <c r="M28" s="72">
        <v>0</v>
      </c>
      <c r="O28">
        <v>0</v>
      </c>
      <c r="P28">
        <v>0</v>
      </c>
      <c r="Q28">
        <v>0</v>
      </c>
      <c r="R28">
        <v>0</v>
      </c>
      <c r="S28">
        <v>1</v>
      </c>
    </row>
    <row r="29" spans="1:21" x14ac:dyDescent="0.25">
      <c r="A29" t="str">
        <f t="shared" si="0"/>
        <v>J2</v>
      </c>
      <c r="B29">
        <v>128</v>
      </c>
      <c r="C29" s="15" t="s">
        <v>80</v>
      </c>
      <c r="D29">
        <v>2</v>
      </c>
      <c r="E29" s="15" t="s">
        <v>142</v>
      </c>
      <c r="F29" s="29" t="s">
        <v>382</v>
      </c>
      <c r="G29" s="20">
        <v>678</v>
      </c>
      <c r="H29" s="12">
        <v>0.5</v>
      </c>
      <c r="I29" s="12">
        <v>0.41666666666666669</v>
      </c>
      <c r="J29" s="12">
        <f t="shared" si="3"/>
        <v>0.91666666666666674</v>
      </c>
      <c r="K29" s="13">
        <v>22</v>
      </c>
      <c r="L29" t="s">
        <v>380</v>
      </c>
      <c r="M29" s="72">
        <v>0</v>
      </c>
      <c r="O29">
        <v>0</v>
      </c>
      <c r="P29">
        <v>1</v>
      </c>
      <c r="Q29">
        <v>0</v>
      </c>
      <c r="R29">
        <v>1</v>
      </c>
      <c r="S29">
        <v>0</v>
      </c>
    </row>
    <row r="30" spans="1:21" x14ac:dyDescent="0.25">
      <c r="A30" t="str">
        <f t="shared" si="0"/>
        <v>K2</v>
      </c>
      <c r="B30">
        <v>141</v>
      </c>
      <c r="C30" s="17" t="s">
        <v>82</v>
      </c>
      <c r="D30">
        <v>2</v>
      </c>
      <c r="E30" s="17" t="s">
        <v>146</v>
      </c>
      <c r="F30" s="107" t="s">
        <v>383</v>
      </c>
      <c r="G30" s="118">
        <v>1405</v>
      </c>
      <c r="H30" s="12">
        <v>0.59375</v>
      </c>
      <c r="I30" s="12">
        <v>0.50694444444444442</v>
      </c>
      <c r="J30" s="12">
        <f t="shared" si="3"/>
        <v>0.91319444444444442</v>
      </c>
      <c r="K30" s="13">
        <v>22</v>
      </c>
      <c r="L30" t="s">
        <v>380</v>
      </c>
      <c r="M30" s="72">
        <v>0</v>
      </c>
      <c r="O30">
        <v>0</v>
      </c>
      <c r="P30">
        <v>0</v>
      </c>
      <c r="Q30">
        <v>0</v>
      </c>
      <c r="R30">
        <v>1</v>
      </c>
      <c r="S30">
        <v>1</v>
      </c>
    </row>
    <row r="31" spans="1:21" x14ac:dyDescent="0.25">
      <c r="A31" t="str">
        <f t="shared" si="0"/>
        <v>L2</v>
      </c>
      <c r="B31">
        <v>131</v>
      </c>
      <c r="C31" s="3" t="s">
        <v>58</v>
      </c>
      <c r="D31">
        <v>2</v>
      </c>
      <c r="E31" s="3" t="s">
        <v>71</v>
      </c>
      <c r="F31" s="28" t="s">
        <v>383</v>
      </c>
      <c r="G31" s="19">
        <v>1202.8</v>
      </c>
      <c r="H31" s="12">
        <v>0.51041666666666696</v>
      </c>
      <c r="I31" s="12">
        <v>0.4375</v>
      </c>
      <c r="J31" s="12">
        <f t="shared" si="3"/>
        <v>0.92708333333333304</v>
      </c>
      <c r="K31" s="13">
        <v>22.25</v>
      </c>
      <c r="L31" t="s">
        <v>380</v>
      </c>
      <c r="M31" s="72">
        <v>0</v>
      </c>
      <c r="O31">
        <v>0</v>
      </c>
      <c r="P31">
        <v>0</v>
      </c>
      <c r="Q31">
        <v>0</v>
      </c>
      <c r="R31">
        <v>0</v>
      </c>
      <c r="S31">
        <v>0</v>
      </c>
    </row>
    <row r="32" spans="1:21" x14ac:dyDescent="0.25">
      <c r="A32" t="str">
        <f t="shared" si="0"/>
        <v>M2</v>
      </c>
      <c r="B32">
        <v>140</v>
      </c>
      <c r="C32" s="15" t="s">
        <v>60</v>
      </c>
      <c r="D32">
        <v>2</v>
      </c>
      <c r="E32" s="15" t="s">
        <v>142</v>
      </c>
      <c r="F32" s="29" t="s">
        <v>383</v>
      </c>
      <c r="G32" s="20">
        <v>1261</v>
      </c>
      <c r="H32" s="12">
        <v>0.59027777777777701</v>
      </c>
      <c r="I32" s="12">
        <v>0.5</v>
      </c>
      <c r="J32" s="12">
        <f t="shared" si="3"/>
        <v>0.90972222222222299</v>
      </c>
      <c r="K32" s="13">
        <v>21.75</v>
      </c>
      <c r="L32" t="s">
        <v>380</v>
      </c>
      <c r="M32" s="72">
        <v>0</v>
      </c>
      <c r="O32">
        <v>0</v>
      </c>
      <c r="P32">
        <v>0</v>
      </c>
      <c r="Q32">
        <v>0</v>
      </c>
      <c r="R32">
        <v>1</v>
      </c>
      <c r="S32">
        <v>1</v>
      </c>
    </row>
    <row r="33" spans="1:21" x14ac:dyDescent="0.25">
      <c r="A33" t="str">
        <f t="shared" si="0"/>
        <v>N2</v>
      </c>
      <c r="B33">
        <v>115</v>
      </c>
      <c r="C33" s="18" t="s">
        <v>62</v>
      </c>
      <c r="D33">
        <v>2</v>
      </c>
      <c r="E33" s="18" t="s">
        <v>40</v>
      </c>
      <c r="F33" s="108" t="s">
        <v>383</v>
      </c>
      <c r="G33" s="111">
        <v>791</v>
      </c>
      <c r="H33" s="12">
        <v>0.58680555555555503</v>
      </c>
      <c r="I33" s="12">
        <v>2.0833333333333332E-2</v>
      </c>
      <c r="J33" s="12">
        <f t="shared" si="3"/>
        <v>0.43402777777777829</v>
      </c>
      <c r="K33" s="13">
        <v>10.5</v>
      </c>
      <c r="L33" t="s">
        <v>375</v>
      </c>
      <c r="M33" s="72">
        <v>1</v>
      </c>
      <c r="O33">
        <v>1</v>
      </c>
      <c r="P33">
        <v>0</v>
      </c>
      <c r="Q33">
        <v>1</v>
      </c>
      <c r="R33">
        <v>0</v>
      </c>
      <c r="S33">
        <v>0</v>
      </c>
    </row>
    <row r="34" spans="1:21" s="66" customFormat="1" x14ac:dyDescent="0.25">
      <c r="A34" t="str">
        <f t="shared" ref="A34:A65" si="4">C34&amp;D34</f>
        <v>O2</v>
      </c>
      <c r="B34">
        <v>134</v>
      </c>
      <c r="C34" s="3" t="s">
        <v>64</v>
      </c>
      <c r="D34">
        <v>2</v>
      </c>
      <c r="E34" s="3" t="s">
        <v>71</v>
      </c>
      <c r="F34" s="28" t="s">
        <v>383</v>
      </c>
      <c r="G34" s="19">
        <v>1031</v>
      </c>
      <c r="H34" s="12">
        <v>0.52777777777777801</v>
      </c>
      <c r="I34" s="12">
        <v>0.45833333333333331</v>
      </c>
      <c r="J34" s="12">
        <f t="shared" si="3"/>
        <v>0.93055555555555536</v>
      </c>
      <c r="K34" s="13">
        <v>22.25</v>
      </c>
      <c r="L34" t="s">
        <v>380</v>
      </c>
      <c r="M34" s="72">
        <v>0</v>
      </c>
      <c r="N34"/>
      <c r="O34">
        <v>0</v>
      </c>
      <c r="P34">
        <v>0</v>
      </c>
      <c r="Q34">
        <v>0</v>
      </c>
      <c r="R34">
        <v>0</v>
      </c>
      <c r="S34">
        <v>0</v>
      </c>
      <c r="T34"/>
      <c r="U34"/>
    </row>
    <row r="35" spans="1:21" x14ac:dyDescent="0.25">
      <c r="A35" t="str">
        <f t="shared" si="4"/>
        <v>P2</v>
      </c>
      <c r="B35">
        <v>129</v>
      </c>
      <c r="C35" s="15" t="s">
        <v>66</v>
      </c>
      <c r="D35">
        <v>2</v>
      </c>
      <c r="E35" s="15" t="s">
        <v>142</v>
      </c>
      <c r="F35" s="29" t="s">
        <v>382</v>
      </c>
      <c r="G35" s="20">
        <v>1098.7</v>
      </c>
      <c r="H35" s="12">
        <v>0.56597222222222199</v>
      </c>
      <c r="I35" s="12">
        <v>0.4236111111111111</v>
      </c>
      <c r="J35" s="12">
        <f t="shared" si="3"/>
        <v>0.85763888888888906</v>
      </c>
      <c r="K35" s="13">
        <v>20.5</v>
      </c>
      <c r="L35" t="s">
        <v>579</v>
      </c>
      <c r="M35" s="72">
        <v>1</v>
      </c>
      <c r="N35">
        <v>1</v>
      </c>
      <c r="O35">
        <v>1</v>
      </c>
      <c r="P35">
        <v>0</v>
      </c>
      <c r="Q35">
        <v>0</v>
      </c>
      <c r="R35">
        <v>0</v>
      </c>
      <c r="S35">
        <v>1</v>
      </c>
    </row>
    <row r="36" spans="1:21" x14ac:dyDescent="0.25">
      <c r="A36" t="str">
        <f t="shared" si="4"/>
        <v>Q2</v>
      </c>
      <c r="B36">
        <v>124</v>
      </c>
      <c r="C36" s="18" t="s">
        <v>385</v>
      </c>
      <c r="D36">
        <v>2</v>
      </c>
      <c r="E36" s="18" t="s">
        <v>40</v>
      </c>
      <c r="F36" s="108" t="s">
        <v>382</v>
      </c>
      <c r="G36" s="111">
        <v>793.5</v>
      </c>
      <c r="H36" s="12">
        <v>0.54166666666666696</v>
      </c>
      <c r="I36" s="12">
        <v>0.3888888888888889</v>
      </c>
      <c r="J36" s="12">
        <f t="shared" si="3"/>
        <v>0.84722222222222188</v>
      </c>
      <c r="K36" s="13">
        <v>20.25</v>
      </c>
      <c r="L36" t="s">
        <v>580</v>
      </c>
      <c r="M36" s="72">
        <v>1</v>
      </c>
      <c r="N36">
        <v>1</v>
      </c>
      <c r="O36">
        <v>0</v>
      </c>
      <c r="P36">
        <v>0</v>
      </c>
      <c r="Q36">
        <v>0</v>
      </c>
      <c r="R36">
        <v>0</v>
      </c>
      <c r="S36">
        <v>0</v>
      </c>
    </row>
    <row r="37" spans="1:21" x14ac:dyDescent="0.25">
      <c r="A37" t="str">
        <f t="shared" si="4"/>
        <v>R2</v>
      </c>
      <c r="B37">
        <v>118</v>
      </c>
      <c r="C37" s="18" t="s">
        <v>68</v>
      </c>
      <c r="D37">
        <v>2</v>
      </c>
      <c r="E37" s="18" t="s">
        <v>40</v>
      </c>
      <c r="F37" s="108" t="s">
        <v>382</v>
      </c>
      <c r="G37" s="111">
        <v>1303</v>
      </c>
      <c r="H37" s="12">
        <v>0.50694444444444398</v>
      </c>
      <c r="I37" s="12">
        <v>0.1076388888888889</v>
      </c>
      <c r="J37" s="12">
        <f t="shared" si="3"/>
        <v>0.60069444444444486</v>
      </c>
      <c r="K37" s="13">
        <v>14.5</v>
      </c>
      <c r="L37" t="s">
        <v>375</v>
      </c>
      <c r="M37" s="72">
        <v>1</v>
      </c>
      <c r="O37">
        <v>1</v>
      </c>
      <c r="P37">
        <v>0</v>
      </c>
      <c r="Q37">
        <v>1</v>
      </c>
      <c r="R37">
        <v>0</v>
      </c>
      <c r="S37">
        <v>1</v>
      </c>
    </row>
    <row r="38" spans="1:21" x14ac:dyDescent="0.25">
      <c r="A38" t="str">
        <f t="shared" si="4"/>
        <v>S2</v>
      </c>
      <c r="B38">
        <v>125</v>
      </c>
      <c r="C38" s="15" t="s">
        <v>70</v>
      </c>
      <c r="D38">
        <v>2</v>
      </c>
      <c r="E38" s="15" t="s">
        <v>142</v>
      </c>
      <c r="F38" s="29" t="s">
        <v>383</v>
      </c>
      <c r="G38" s="20">
        <v>1327</v>
      </c>
      <c r="H38" s="12">
        <v>0.53472222222222199</v>
      </c>
      <c r="I38" s="12">
        <v>0.39583333333333331</v>
      </c>
      <c r="J38" s="12">
        <f t="shared" si="3"/>
        <v>0.86111111111111138</v>
      </c>
      <c r="K38" s="13">
        <v>20.75</v>
      </c>
      <c r="L38" t="s">
        <v>380</v>
      </c>
      <c r="M38" s="72">
        <v>0</v>
      </c>
      <c r="N38">
        <v>1</v>
      </c>
      <c r="O38">
        <v>0</v>
      </c>
      <c r="P38">
        <v>0</v>
      </c>
      <c r="Q38">
        <v>0</v>
      </c>
      <c r="R38">
        <v>0</v>
      </c>
      <c r="S38">
        <v>0</v>
      </c>
    </row>
    <row r="39" spans="1:21" x14ac:dyDescent="0.25">
      <c r="A39" s="66" t="str">
        <f t="shared" si="4"/>
        <v>T2</v>
      </c>
      <c r="B39" s="66">
        <v>138</v>
      </c>
      <c r="C39" s="67" t="s">
        <v>386</v>
      </c>
      <c r="D39" s="66">
        <v>2</v>
      </c>
      <c r="E39" s="67" t="s">
        <v>54</v>
      </c>
      <c r="F39" s="117" t="s">
        <v>383</v>
      </c>
      <c r="G39" s="120">
        <v>1193</v>
      </c>
      <c r="H39" s="68">
        <v>0.54861111111111105</v>
      </c>
      <c r="I39" s="68">
        <v>0.4861111111111111</v>
      </c>
      <c r="J39" s="68">
        <f t="shared" si="3"/>
        <v>0.9375</v>
      </c>
      <c r="K39" s="69">
        <v>22.5</v>
      </c>
      <c r="L39" s="66" t="s">
        <v>581</v>
      </c>
      <c r="M39" s="74">
        <v>0</v>
      </c>
      <c r="N39" s="66"/>
      <c r="O39" s="66">
        <v>0</v>
      </c>
      <c r="P39" s="66">
        <v>0</v>
      </c>
      <c r="Q39" s="66">
        <v>1</v>
      </c>
      <c r="R39" s="66">
        <v>0</v>
      </c>
      <c r="S39" s="66">
        <v>1</v>
      </c>
      <c r="T39" s="66"/>
      <c r="U39" s="66" t="s">
        <v>1447</v>
      </c>
    </row>
    <row r="40" spans="1:21" x14ac:dyDescent="0.25">
      <c r="A40" t="str">
        <f t="shared" si="4"/>
        <v>U2</v>
      </c>
      <c r="B40">
        <v>121</v>
      </c>
      <c r="C40" s="17" t="s">
        <v>388</v>
      </c>
      <c r="D40">
        <v>2</v>
      </c>
      <c r="E40" s="17" t="s">
        <v>146</v>
      </c>
      <c r="F40" s="107" t="s">
        <v>383</v>
      </c>
      <c r="G40" s="118">
        <v>741.5</v>
      </c>
      <c r="H40" s="12">
        <v>0.55555555555555503</v>
      </c>
      <c r="I40" s="12">
        <v>0.31597222222222221</v>
      </c>
      <c r="J40" s="12">
        <f t="shared" si="3"/>
        <v>0.76041666666666718</v>
      </c>
      <c r="K40" s="13">
        <v>18.25</v>
      </c>
      <c r="L40" t="s">
        <v>380</v>
      </c>
      <c r="M40" s="72">
        <v>0</v>
      </c>
      <c r="N40">
        <v>1</v>
      </c>
      <c r="O40">
        <v>1</v>
      </c>
      <c r="P40">
        <v>1</v>
      </c>
      <c r="Q40">
        <v>1</v>
      </c>
      <c r="R40">
        <v>0</v>
      </c>
      <c r="S40">
        <v>0</v>
      </c>
    </row>
    <row r="41" spans="1:21" x14ac:dyDescent="0.25">
      <c r="A41" t="str">
        <f t="shared" si="4"/>
        <v>V2</v>
      </c>
      <c r="B41">
        <v>127</v>
      </c>
      <c r="C41" s="17" t="s">
        <v>389</v>
      </c>
      <c r="D41">
        <v>2</v>
      </c>
      <c r="E41" s="17" t="s">
        <v>146</v>
      </c>
      <c r="F41" s="107" t="s">
        <v>383</v>
      </c>
      <c r="G41" s="118">
        <v>1281</v>
      </c>
      <c r="H41" s="12">
        <v>0.56944444444444398</v>
      </c>
      <c r="I41" s="12">
        <v>0.40972222222222227</v>
      </c>
      <c r="J41" s="12">
        <f t="shared" si="3"/>
        <v>0.84027777777777835</v>
      </c>
      <c r="K41" s="13">
        <v>20.25</v>
      </c>
      <c r="L41" t="s">
        <v>380</v>
      </c>
      <c r="M41" s="72">
        <v>0</v>
      </c>
      <c r="O41">
        <v>0</v>
      </c>
      <c r="P41">
        <v>1</v>
      </c>
      <c r="Q41">
        <v>0</v>
      </c>
      <c r="R41">
        <v>1</v>
      </c>
      <c r="S41">
        <v>0</v>
      </c>
    </row>
    <row r="42" spans="1:21" x14ac:dyDescent="0.25">
      <c r="A42" t="str">
        <f t="shared" si="4"/>
        <v>X2</v>
      </c>
      <c r="B42">
        <v>139</v>
      </c>
      <c r="C42" s="17" t="s">
        <v>390</v>
      </c>
      <c r="D42">
        <v>2</v>
      </c>
      <c r="E42" s="17" t="s">
        <v>146</v>
      </c>
      <c r="F42" s="107" t="s">
        <v>383</v>
      </c>
      <c r="G42" s="118">
        <v>1111</v>
      </c>
      <c r="H42" s="12">
        <v>0.58333333333333304</v>
      </c>
      <c r="I42" s="12">
        <v>0.49305555555555558</v>
      </c>
      <c r="J42" s="12">
        <f t="shared" si="3"/>
        <v>0.90972222222222254</v>
      </c>
      <c r="K42" s="13">
        <v>21.45</v>
      </c>
      <c r="L42" t="s">
        <v>380</v>
      </c>
      <c r="M42" s="72">
        <v>0</v>
      </c>
      <c r="O42">
        <v>0</v>
      </c>
      <c r="P42">
        <v>0</v>
      </c>
      <c r="Q42">
        <v>1</v>
      </c>
      <c r="R42">
        <v>0</v>
      </c>
      <c r="S42">
        <v>1</v>
      </c>
    </row>
    <row r="43" spans="1:21" x14ac:dyDescent="0.25">
      <c r="A43" t="str">
        <f t="shared" si="4"/>
        <v>Y2</v>
      </c>
      <c r="B43">
        <v>122</v>
      </c>
      <c r="C43" s="18" t="s">
        <v>384</v>
      </c>
      <c r="D43">
        <v>2</v>
      </c>
      <c r="E43" s="18" t="s">
        <v>40</v>
      </c>
      <c r="F43" s="108" t="s">
        <v>383</v>
      </c>
      <c r="G43" s="111">
        <v>1340.4</v>
      </c>
      <c r="H43" s="12">
        <v>0.52430555555555503</v>
      </c>
      <c r="I43" s="12">
        <v>0.375</v>
      </c>
      <c r="J43" s="12">
        <f t="shared" si="3"/>
        <v>0.85069444444444497</v>
      </c>
      <c r="K43" s="13">
        <v>20.5</v>
      </c>
      <c r="L43" t="s">
        <v>579</v>
      </c>
      <c r="M43" s="72">
        <v>1</v>
      </c>
      <c r="N43">
        <v>1</v>
      </c>
      <c r="O43">
        <v>1</v>
      </c>
      <c r="P43">
        <v>1</v>
      </c>
      <c r="Q43">
        <v>0</v>
      </c>
      <c r="R43">
        <v>0</v>
      </c>
      <c r="S43">
        <v>0</v>
      </c>
    </row>
    <row r="44" spans="1:21" x14ac:dyDescent="0.25">
      <c r="A44" t="str">
        <f t="shared" si="4"/>
        <v>Z2</v>
      </c>
      <c r="B44">
        <v>116</v>
      </c>
      <c r="C44" s="15" t="s">
        <v>387</v>
      </c>
      <c r="D44">
        <v>2</v>
      </c>
      <c r="E44" s="15" t="s">
        <v>142</v>
      </c>
      <c r="F44" s="29" t="s">
        <v>382</v>
      </c>
      <c r="G44" s="20">
        <v>1270</v>
      </c>
      <c r="H44" s="12">
        <v>0.55208333333333304</v>
      </c>
      <c r="I44" s="12">
        <v>5.2083333333333336E-2</v>
      </c>
      <c r="J44" s="12">
        <f t="shared" si="3"/>
        <v>0.50000000000000033</v>
      </c>
      <c r="K44" s="13">
        <v>12</v>
      </c>
      <c r="L44" t="s">
        <v>375</v>
      </c>
      <c r="M44" s="72">
        <v>1</v>
      </c>
      <c r="O44">
        <v>0</v>
      </c>
      <c r="P44">
        <v>0</v>
      </c>
      <c r="Q44">
        <v>1</v>
      </c>
      <c r="R44">
        <v>0</v>
      </c>
      <c r="S44">
        <v>1</v>
      </c>
    </row>
    <row r="45" spans="1:21" x14ac:dyDescent="0.25">
      <c r="A45" t="str">
        <f t="shared" si="4"/>
        <v>Æ2</v>
      </c>
      <c r="B45">
        <v>120</v>
      </c>
      <c r="C45" s="15" t="s">
        <v>202</v>
      </c>
      <c r="D45">
        <v>2</v>
      </c>
      <c r="E45" s="15" t="s">
        <v>142</v>
      </c>
      <c r="F45" s="29" t="s">
        <v>383</v>
      </c>
      <c r="G45" s="20">
        <v>1180.8</v>
      </c>
      <c r="H45" s="12">
        <v>0.51736111111111105</v>
      </c>
      <c r="I45" s="12">
        <v>0.13541666666666666</v>
      </c>
      <c r="J45" s="12">
        <f t="shared" si="3"/>
        <v>0.61805555555555558</v>
      </c>
      <c r="K45" s="13">
        <v>14.75</v>
      </c>
      <c r="L45" t="s">
        <v>375</v>
      </c>
      <c r="M45" s="72">
        <v>1</v>
      </c>
    </row>
    <row r="46" spans="1:21" x14ac:dyDescent="0.25">
      <c r="A46" t="str">
        <f t="shared" si="4"/>
        <v>Ø2</v>
      </c>
      <c r="B46">
        <v>137</v>
      </c>
      <c r="C46" s="3" t="s">
        <v>175</v>
      </c>
      <c r="D46">
        <v>2</v>
      </c>
      <c r="E46" s="3" t="s">
        <v>71</v>
      </c>
      <c r="F46" s="28" t="s">
        <v>382</v>
      </c>
      <c r="G46" s="19">
        <v>1275</v>
      </c>
      <c r="H46" s="12">
        <v>0.54513888888888895</v>
      </c>
      <c r="I46" s="12">
        <v>0.47916666666666669</v>
      </c>
      <c r="J46" s="12">
        <f t="shared" si="3"/>
        <v>0.93402777777777768</v>
      </c>
      <c r="K46" s="13">
        <v>22.5</v>
      </c>
      <c r="L46" t="s">
        <v>380</v>
      </c>
      <c r="M46" s="72">
        <v>0</v>
      </c>
      <c r="O46">
        <v>0</v>
      </c>
      <c r="P46">
        <v>0</v>
      </c>
      <c r="Q46">
        <v>0</v>
      </c>
      <c r="R46">
        <v>0</v>
      </c>
      <c r="S46">
        <v>1</v>
      </c>
    </row>
    <row r="47" spans="1:21" x14ac:dyDescent="0.25">
      <c r="A47" t="str">
        <f t="shared" si="4"/>
        <v>Å2</v>
      </c>
      <c r="B47">
        <v>130</v>
      </c>
      <c r="C47" s="17" t="s">
        <v>145</v>
      </c>
      <c r="D47">
        <v>2</v>
      </c>
      <c r="E47" s="17" t="s">
        <v>146</v>
      </c>
      <c r="F47" s="107" t="s">
        <v>383</v>
      </c>
      <c r="G47" s="118">
        <v>902</v>
      </c>
      <c r="H47" s="12">
        <v>0.50347222222222221</v>
      </c>
      <c r="I47" s="12">
        <v>0.43055555555555558</v>
      </c>
      <c r="J47" s="12">
        <f t="shared" si="3"/>
        <v>0.92708333333333337</v>
      </c>
      <c r="K47" s="13">
        <v>22.25</v>
      </c>
      <c r="L47" t="s">
        <v>380</v>
      </c>
      <c r="M47" s="72">
        <v>0</v>
      </c>
      <c r="O47">
        <v>0</v>
      </c>
      <c r="P47">
        <v>0</v>
      </c>
      <c r="Q47">
        <v>0</v>
      </c>
      <c r="R47">
        <v>1</v>
      </c>
      <c r="S47">
        <v>0</v>
      </c>
    </row>
    <row r="48" spans="1:21" x14ac:dyDescent="0.25">
      <c r="A48" t="str">
        <f t="shared" si="4"/>
        <v>A3</v>
      </c>
      <c r="B48">
        <v>150</v>
      </c>
      <c r="C48" s="49" t="s">
        <v>36</v>
      </c>
      <c r="D48">
        <v>3</v>
      </c>
      <c r="E48" s="49" t="s">
        <v>40</v>
      </c>
      <c r="F48" s="50" t="s">
        <v>382</v>
      </c>
      <c r="G48" s="50">
        <v>725</v>
      </c>
      <c r="H48" s="12">
        <v>0.55902777777777801</v>
      </c>
      <c r="I48" s="12">
        <v>0.20486111111111113</v>
      </c>
      <c r="J48" s="12">
        <f t="shared" si="3"/>
        <v>0.64583333333333315</v>
      </c>
      <c r="K48" s="13">
        <v>15.5</v>
      </c>
      <c r="L48" t="s">
        <v>375</v>
      </c>
      <c r="M48" s="72">
        <v>1</v>
      </c>
      <c r="O48">
        <v>0</v>
      </c>
      <c r="P48">
        <v>0</v>
      </c>
      <c r="Q48">
        <v>1</v>
      </c>
      <c r="R48">
        <v>0</v>
      </c>
      <c r="S48">
        <v>1</v>
      </c>
    </row>
    <row r="49" spans="1:21" x14ac:dyDescent="0.25">
      <c r="A49" t="str">
        <f t="shared" si="4"/>
        <v>ALPHA3</v>
      </c>
      <c r="B49">
        <v>149</v>
      </c>
      <c r="C49" s="49" t="s">
        <v>586</v>
      </c>
      <c r="D49">
        <v>3</v>
      </c>
      <c r="E49" s="49" t="s">
        <v>142</v>
      </c>
      <c r="F49" s="50" t="s">
        <v>383</v>
      </c>
      <c r="G49" s="50">
        <v>847</v>
      </c>
      <c r="H49" s="12">
        <v>0.57638888888888895</v>
      </c>
      <c r="I49" s="12">
        <v>0.19097222222222221</v>
      </c>
      <c r="J49" s="12">
        <f t="shared" si="3"/>
        <v>0.61458333333333326</v>
      </c>
      <c r="K49" s="13">
        <v>14.75</v>
      </c>
      <c r="L49" t="s">
        <v>375</v>
      </c>
      <c r="M49" s="72">
        <v>1</v>
      </c>
      <c r="O49">
        <v>0</v>
      </c>
      <c r="P49">
        <v>1</v>
      </c>
      <c r="Q49">
        <v>1</v>
      </c>
      <c r="R49">
        <v>0</v>
      </c>
      <c r="S49">
        <v>1</v>
      </c>
    </row>
    <row r="50" spans="1:21" x14ac:dyDescent="0.25">
      <c r="A50" t="str">
        <f t="shared" si="4"/>
        <v>B3</v>
      </c>
      <c r="B50">
        <v>143</v>
      </c>
      <c r="C50" s="49" t="s">
        <v>39</v>
      </c>
      <c r="D50">
        <v>3</v>
      </c>
      <c r="E50" s="49" t="s">
        <v>40</v>
      </c>
      <c r="F50" s="50" t="s">
        <v>382</v>
      </c>
      <c r="G50" s="50">
        <v>794</v>
      </c>
      <c r="H50" s="12">
        <v>0.54166666666666696</v>
      </c>
      <c r="I50" s="12">
        <v>0.91319444444444453</v>
      </c>
      <c r="J50" s="12">
        <f>I50-H50</f>
        <v>0.37152777777777757</v>
      </c>
      <c r="K50" s="13">
        <v>9</v>
      </c>
      <c r="L50" t="s">
        <v>375</v>
      </c>
      <c r="M50" s="72">
        <v>1</v>
      </c>
      <c r="O50">
        <v>0</v>
      </c>
      <c r="P50">
        <v>0</v>
      </c>
      <c r="Q50">
        <v>1</v>
      </c>
      <c r="R50">
        <v>1</v>
      </c>
      <c r="S50">
        <v>1</v>
      </c>
    </row>
    <row r="51" spans="1:21" x14ac:dyDescent="0.25">
      <c r="A51" t="str">
        <f t="shared" si="4"/>
        <v>BETA3</v>
      </c>
      <c r="B51">
        <v>153</v>
      </c>
      <c r="C51" s="24" t="s">
        <v>584</v>
      </c>
      <c r="D51">
        <v>3</v>
      </c>
      <c r="E51" s="48" t="s">
        <v>142</v>
      </c>
      <c r="F51" s="36" t="s">
        <v>383</v>
      </c>
      <c r="G51" s="36">
        <v>777</v>
      </c>
      <c r="H51" s="12">
        <v>0.5</v>
      </c>
      <c r="I51" s="12">
        <v>0.375</v>
      </c>
      <c r="J51" s="12">
        <f t="shared" ref="J51:J64" si="5">(I51-(H51-H$2))+X$2</f>
        <v>0.875</v>
      </c>
      <c r="K51" s="13">
        <v>21</v>
      </c>
      <c r="L51" t="s">
        <v>380</v>
      </c>
      <c r="M51" s="72">
        <v>0</v>
      </c>
      <c r="N51">
        <v>1</v>
      </c>
      <c r="O51">
        <v>0</v>
      </c>
      <c r="P51">
        <v>0</v>
      </c>
      <c r="Q51">
        <v>1</v>
      </c>
      <c r="R51">
        <v>0</v>
      </c>
      <c r="S51">
        <v>1</v>
      </c>
    </row>
    <row r="52" spans="1:21" x14ac:dyDescent="0.25">
      <c r="A52" t="str">
        <f t="shared" si="4"/>
        <v>D3</v>
      </c>
      <c r="B52">
        <v>145</v>
      </c>
      <c r="C52" s="49" t="s">
        <v>45</v>
      </c>
      <c r="D52">
        <v>3</v>
      </c>
      <c r="E52" s="49" t="s">
        <v>40</v>
      </c>
      <c r="F52" s="50" t="s">
        <v>383</v>
      </c>
      <c r="G52" s="50">
        <v>949.7</v>
      </c>
      <c r="H52" s="12">
        <v>0.50694444444444398</v>
      </c>
      <c r="I52" s="12">
        <v>6.25E-2</v>
      </c>
      <c r="J52" s="12">
        <f t="shared" si="5"/>
        <v>0.55555555555555602</v>
      </c>
      <c r="K52" s="13">
        <v>13.25</v>
      </c>
      <c r="L52" t="s">
        <v>375</v>
      </c>
      <c r="M52" s="72">
        <v>1</v>
      </c>
      <c r="O52">
        <v>0</v>
      </c>
      <c r="P52">
        <v>0</v>
      </c>
      <c r="Q52">
        <v>1</v>
      </c>
      <c r="R52">
        <v>0</v>
      </c>
      <c r="S52">
        <v>1</v>
      </c>
    </row>
    <row r="53" spans="1:21" x14ac:dyDescent="0.25">
      <c r="A53" t="str">
        <f t="shared" si="4"/>
        <v>G3</v>
      </c>
      <c r="B53">
        <v>164</v>
      </c>
      <c r="C53" s="106" t="s">
        <v>51</v>
      </c>
      <c r="D53">
        <v>3</v>
      </c>
      <c r="E53" s="48" t="s">
        <v>71</v>
      </c>
      <c r="F53" s="51" t="s">
        <v>382</v>
      </c>
      <c r="G53" s="51">
        <v>993</v>
      </c>
      <c r="H53" s="12">
        <v>0.54513888888888895</v>
      </c>
      <c r="I53" s="12">
        <v>0.4513888888888889</v>
      </c>
      <c r="J53" s="12">
        <f t="shared" si="5"/>
        <v>0.90625</v>
      </c>
      <c r="K53" s="13">
        <v>21.75</v>
      </c>
      <c r="L53" t="s">
        <v>380</v>
      </c>
      <c r="M53" s="72">
        <v>0</v>
      </c>
      <c r="O53">
        <v>0</v>
      </c>
      <c r="P53">
        <v>0</v>
      </c>
      <c r="Q53">
        <v>0</v>
      </c>
      <c r="R53">
        <v>0</v>
      </c>
      <c r="S53">
        <v>1</v>
      </c>
    </row>
    <row r="54" spans="1:21" s="50" customFormat="1" x14ac:dyDescent="0.25">
      <c r="A54" t="str">
        <f t="shared" si="4"/>
        <v>GAMMA3</v>
      </c>
      <c r="B54">
        <v>148</v>
      </c>
      <c r="C54" s="49" t="s">
        <v>585</v>
      </c>
      <c r="D54">
        <v>3</v>
      </c>
      <c r="E54" s="49" t="s">
        <v>40</v>
      </c>
      <c r="F54" s="50" t="s">
        <v>383</v>
      </c>
      <c r="G54" s="50">
        <v>1159</v>
      </c>
      <c r="H54" s="12">
        <v>0.57291666666666596</v>
      </c>
      <c r="I54" s="12">
        <v>0.17708333333333334</v>
      </c>
      <c r="J54" s="12">
        <f t="shared" si="5"/>
        <v>0.60416666666666741</v>
      </c>
      <c r="K54" s="13">
        <v>14.5</v>
      </c>
      <c r="L54" t="s">
        <v>375</v>
      </c>
      <c r="M54" s="72">
        <v>1</v>
      </c>
      <c r="N54"/>
      <c r="O54">
        <v>0</v>
      </c>
      <c r="P54">
        <v>1</v>
      </c>
      <c r="Q54">
        <v>1</v>
      </c>
      <c r="R54">
        <v>0</v>
      </c>
      <c r="S54">
        <v>0</v>
      </c>
      <c r="T54"/>
      <c r="U54"/>
    </row>
    <row r="55" spans="1:21" x14ac:dyDescent="0.25">
      <c r="A55" t="str">
        <f t="shared" si="4"/>
        <v>H3</v>
      </c>
      <c r="B55">
        <v>146</v>
      </c>
      <c r="C55" s="49" t="s">
        <v>53</v>
      </c>
      <c r="D55">
        <v>3</v>
      </c>
      <c r="E55" s="49" t="s">
        <v>40</v>
      </c>
      <c r="F55" s="50" t="s">
        <v>382</v>
      </c>
      <c r="G55" s="50">
        <v>1104</v>
      </c>
      <c r="H55" s="12">
        <v>0.58333333333333304</v>
      </c>
      <c r="I55" s="12">
        <v>8.6805555555555566E-2</v>
      </c>
      <c r="J55" s="12">
        <f t="shared" si="5"/>
        <v>0.50347222222222254</v>
      </c>
      <c r="K55" s="13">
        <v>12</v>
      </c>
      <c r="L55" t="s">
        <v>375</v>
      </c>
      <c r="M55" s="72">
        <v>1</v>
      </c>
      <c r="O55">
        <v>0</v>
      </c>
      <c r="P55">
        <v>0</v>
      </c>
      <c r="Q55">
        <v>1</v>
      </c>
      <c r="R55">
        <v>0</v>
      </c>
      <c r="S55">
        <v>1</v>
      </c>
    </row>
    <row r="56" spans="1:21" x14ac:dyDescent="0.25">
      <c r="A56" t="str">
        <f t="shared" si="4"/>
        <v>I3</v>
      </c>
      <c r="B56">
        <v>152</v>
      </c>
      <c r="C56" s="49" t="s">
        <v>56</v>
      </c>
      <c r="D56">
        <v>3</v>
      </c>
      <c r="E56" s="49" t="s">
        <v>142</v>
      </c>
      <c r="F56" s="50" t="s">
        <v>382</v>
      </c>
      <c r="G56" s="50">
        <v>996</v>
      </c>
      <c r="H56" s="12">
        <v>0.55208333333333304</v>
      </c>
      <c r="I56" s="12">
        <v>0.22916666666666666</v>
      </c>
      <c r="J56" s="12">
        <f t="shared" si="5"/>
        <v>0.67708333333333359</v>
      </c>
      <c r="K56" s="13">
        <v>16.25</v>
      </c>
      <c r="L56" t="s">
        <v>375</v>
      </c>
      <c r="M56" s="72">
        <v>1</v>
      </c>
      <c r="O56">
        <v>0</v>
      </c>
      <c r="P56">
        <v>0</v>
      </c>
      <c r="Q56">
        <v>1</v>
      </c>
      <c r="R56">
        <v>0</v>
      </c>
      <c r="S56">
        <v>1</v>
      </c>
    </row>
    <row r="57" spans="1:21" x14ac:dyDescent="0.25">
      <c r="A57" t="str">
        <f t="shared" si="4"/>
        <v>J3</v>
      </c>
      <c r="B57">
        <v>155</v>
      </c>
      <c r="C57" s="6" t="s">
        <v>80</v>
      </c>
      <c r="D57">
        <v>3</v>
      </c>
      <c r="E57" s="48" t="s">
        <v>40</v>
      </c>
      <c r="F57" s="5" t="s">
        <v>383</v>
      </c>
      <c r="G57" s="5">
        <v>885</v>
      </c>
      <c r="H57" s="12">
        <v>0.52430555555555503</v>
      </c>
      <c r="I57" s="12">
        <v>0.3888888888888889</v>
      </c>
      <c r="J57" s="12">
        <f t="shared" si="5"/>
        <v>0.86458333333333393</v>
      </c>
      <c r="K57" s="13">
        <v>20.75</v>
      </c>
      <c r="L57" t="s">
        <v>380</v>
      </c>
      <c r="M57" s="72">
        <v>0</v>
      </c>
      <c r="N57">
        <v>1</v>
      </c>
      <c r="O57">
        <v>0</v>
      </c>
      <c r="P57">
        <v>0</v>
      </c>
      <c r="Q57">
        <v>1</v>
      </c>
      <c r="R57">
        <v>0</v>
      </c>
      <c r="S57">
        <v>1</v>
      </c>
    </row>
    <row r="58" spans="1:21" x14ac:dyDescent="0.25">
      <c r="A58" t="str">
        <f t="shared" si="4"/>
        <v>K3</v>
      </c>
      <c r="B58">
        <v>161</v>
      </c>
      <c r="C58" s="52" t="s">
        <v>82</v>
      </c>
      <c r="D58">
        <v>3</v>
      </c>
      <c r="E58" s="48" t="s">
        <v>54</v>
      </c>
      <c r="F58" s="53" t="s">
        <v>382</v>
      </c>
      <c r="G58" s="53">
        <v>984</v>
      </c>
      <c r="H58" s="12">
        <v>0.51388888888888895</v>
      </c>
      <c r="I58" s="12">
        <v>0.43055555555555558</v>
      </c>
      <c r="J58" s="12">
        <f t="shared" si="5"/>
        <v>0.91666666666666663</v>
      </c>
      <c r="K58" s="13">
        <v>22</v>
      </c>
      <c r="L58" t="s">
        <v>380</v>
      </c>
      <c r="M58" s="72">
        <v>0</v>
      </c>
      <c r="O58">
        <v>0</v>
      </c>
      <c r="P58">
        <v>0</v>
      </c>
      <c r="Q58">
        <v>0</v>
      </c>
      <c r="R58">
        <v>0</v>
      </c>
      <c r="S58">
        <v>1</v>
      </c>
    </row>
    <row r="59" spans="1:21" x14ac:dyDescent="0.25">
      <c r="A59" t="str">
        <f t="shared" si="4"/>
        <v>L3</v>
      </c>
      <c r="B59">
        <v>151</v>
      </c>
      <c r="C59" s="49" t="s">
        <v>58</v>
      </c>
      <c r="D59">
        <v>3</v>
      </c>
      <c r="E59" s="49" t="s">
        <v>142</v>
      </c>
      <c r="F59" s="50" t="s">
        <v>383</v>
      </c>
      <c r="G59" s="50">
        <v>1175</v>
      </c>
      <c r="H59" s="12">
        <v>0.53472222222222199</v>
      </c>
      <c r="I59" s="12">
        <v>0.21875</v>
      </c>
      <c r="J59" s="12">
        <f t="shared" si="5"/>
        <v>0.68402777777777801</v>
      </c>
      <c r="K59" s="13">
        <v>16.5</v>
      </c>
      <c r="L59" t="s">
        <v>375</v>
      </c>
      <c r="M59" s="72">
        <v>1</v>
      </c>
      <c r="O59">
        <v>0</v>
      </c>
      <c r="P59">
        <v>0</v>
      </c>
      <c r="Q59">
        <v>1</v>
      </c>
      <c r="R59">
        <v>1</v>
      </c>
      <c r="S59">
        <v>1</v>
      </c>
    </row>
    <row r="60" spans="1:21" x14ac:dyDescent="0.25">
      <c r="A60" t="str">
        <f t="shared" si="4"/>
        <v>N3</v>
      </c>
      <c r="B60">
        <v>159</v>
      </c>
      <c r="C60" s="25" t="s">
        <v>62</v>
      </c>
      <c r="D60">
        <v>3</v>
      </c>
      <c r="E60" s="48" t="s">
        <v>146</v>
      </c>
      <c r="F60" s="26" t="s">
        <v>383</v>
      </c>
      <c r="G60" s="26">
        <v>1219</v>
      </c>
      <c r="H60" s="12">
        <v>0.57986111111111105</v>
      </c>
      <c r="I60" s="12">
        <v>0.41666666666666669</v>
      </c>
      <c r="J60" s="12">
        <f t="shared" si="5"/>
        <v>0.83680555555555558</v>
      </c>
      <c r="K60" s="13">
        <v>20</v>
      </c>
      <c r="L60" t="s">
        <v>380</v>
      </c>
      <c r="M60" s="72">
        <v>0</v>
      </c>
      <c r="N60">
        <v>1</v>
      </c>
      <c r="O60">
        <v>0</v>
      </c>
      <c r="P60">
        <v>0</v>
      </c>
      <c r="Q60">
        <v>1</v>
      </c>
      <c r="R60">
        <v>0</v>
      </c>
      <c r="S60">
        <v>1</v>
      </c>
    </row>
    <row r="61" spans="1:21" x14ac:dyDescent="0.25">
      <c r="A61" s="50" t="str">
        <f t="shared" si="4"/>
        <v>O3</v>
      </c>
      <c r="B61" s="50">
        <v>157</v>
      </c>
      <c r="C61" s="49" t="s">
        <v>64</v>
      </c>
      <c r="D61" s="50">
        <v>3</v>
      </c>
      <c r="E61" s="49" t="s">
        <v>146</v>
      </c>
      <c r="F61" s="50" t="s">
        <v>382</v>
      </c>
      <c r="G61" s="50">
        <v>849</v>
      </c>
      <c r="H61" s="64">
        <v>0.52083333333333304</v>
      </c>
      <c r="I61" s="64">
        <v>0.40277777777777773</v>
      </c>
      <c r="J61" s="64">
        <f t="shared" si="5"/>
        <v>0.88194444444444464</v>
      </c>
      <c r="K61" s="65">
        <v>21.25</v>
      </c>
      <c r="L61" s="50" t="s">
        <v>1448</v>
      </c>
      <c r="M61" s="71">
        <v>0</v>
      </c>
      <c r="N61" s="50">
        <v>1</v>
      </c>
      <c r="O61" s="50">
        <v>0</v>
      </c>
      <c r="P61" s="50">
        <v>0</v>
      </c>
      <c r="Q61" s="50">
        <v>0</v>
      </c>
      <c r="R61" s="50">
        <v>0</v>
      </c>
      <c r="S61" s="50">
        <v>0</v>
      </c>
      <c r="T61" s="50">
        <v>1</v>
      </c>
      <c r="U61" s="50" t="s">
        <v>1445</v>
      </c>
    </row>
    <row r="62" spans="1:21" x14ac:dyDescent="0.25">
      <c r="A62" t="str">
        <f t="shared" si="4"/>
        <v>P3</v>
      </c>
      <c r="B62">
        <v>999</v>
      </c>
      <c r="C62" s="49" t="s">
        <v>66</v>
      </c>
      <c r="D62">
        <v>3</v>
      </c>
      <c r="E62" s="49" t="s">
        <v>71</v>
      </c>
      <c r="F62" s="50" t="s">
        <v>383</v>
      </c>
      <c r="G62" s="50">
        <v>1279</v>
      </c>
      <c r="H62" s="12">
        <v>0.5625</v>
      </c>
      <c r="I62" s="12">
        <v>0.125</v>
      </c>
      <c r="J62" s="12">
        <f t="shared" si="5"/>
        <v>0.5625</v>
      </c>
      <c r="K62" s="13">
        <v>13.5</v>
      </c>
      <c r="L62" t="s">
        <v>582</v>
      </c>
      <c r="M62" s="72">
        <v>0</v>
      </c>
    </row>
    <row r="63" spans="1:21" x14ac:dyDescent="0.25">
      <c r="A63" t="str">
        <f t="shared" si="4"/>
        <v>Q3</v>
      </c>
      <c r="B63">
        <v>165</v>
      </c>
      <c r="C63" s="52" t="s">
        <v>385</v>
      </c>
      <c r="D63">
        <v>3</v>
      </c>
      <c r="E63" s="48" t="s">
        <v>54</v>
      </c>
      <c r="F63" s="53" t="s">
        <v>383</v>
      </c>
      <c r="G63" s="53">
        <v>676</v>
      </c>
      <c r="H63" s="12">
        <v>0.54861111111111105</v>
      </c>
      <c r="I63" s="12">
        <v>0.45833333333333331</v>
      </c>
      <c r="J63" s="12">
        <f t="shared" si="5"/>
        <v>0.90972222222222232</v>
      </c>
      <c r="K63" s="13">
        <v>21.75</v>
      </c>
      <c r="L63" t="s">
        <v>380</v>
      </c>
      <c r="M63" s="72">
        <v>0</v>
      </c>
      <c r="O63">
        <v>0</v>
      </c>
      <c r="P63">
        <v>0</v>
      </c>
      <c r="Q63">
        <v>0</v>
      </c>
      <c r="R63">
        <v>0</v>
      </c>
      <c r="S63">
        <v>1</v>
      </c>
    </row>
    <row r="64" spans="1:21" x14ac:dyDescent="0.25">
      <c r="A64" t="str">
        <f t="shared" si="4"/>
        <v>R3</v>
      </c>
      <c r="B64">
        <v>160</v>
      </c>
      <c r="C64" s="106" t="s">
        <v>68</v>
      </c>
      <c r="D64">
        <v>3</v>
      </c>
      <c r="E64" s="48" t="s">
        <v>71</v>
      </c>
      <c r="F64" s="51" t="s">
        <v>383</v>
      </c>
      <c r="G64" s="51">
        <v>637</v>
      </c>
      <c r="H64" s="12">
        <v>0.51041666666666696</v>
      </c>
      <c r="I64" s="12">
        <v>0.4236111111111111</v>
      </c>
      <c r="J64" s="12">
        <f t="shared" si="5"/>
        <v>0.9131944444444442</v>
      </c>
      <c r="K64" s="13">
        <v>22</v>
      </c>
      <c r="L64" t="s">
        <v>380</v>
      </c>
      <c r="M64" s="72">
        <v>0</v>
      </c>
      <c r="O64">
        <v>0</v>
      </c>
      <c r="P64">
        <v>0</v>
      </c>
      <c r="Q64">
        <v>0</v>
      </c>
      <c r="R64">
        <v>0</v>
      </c>
      <c r="S64">
        <v>1</v>
      </c>
    </row>
    <row r="65" spans="1:19" x14ac:dyDescent="0.25">
      <c r="A65" t="str">
        <f t="shared" si="4"/>
        <v>T3</v>
      </c>
      <c r="B65">
        <v>144</v>
      </c>
      <c r="C65" s="49" t="s">
        <v>386</v>
      </c>
      <c r="D65">
        <v>3</v>
      </c>
      <c r="E65" s="49" t="s">
        <v>146</v>
      </c>
      <c r="F65" s="50" t="s">
        <v>383</v>
      </c>
      <c r="G65" s="50">
        <v>1017</v>
      </c>
      <c r="H65" s="12">
        <v>0.55555555555555503</v>
      </c>
      <c r="I65" s="12">
        <v>0.92361111111111116</v>
      </c>
      <c r="J65" s="12">
        <f>I65-H65</f>
        <v>0.36805555555555614</v>
      </c>
      <c r="K65" s="13">
        <v>8.75</v>
      </c>
      <c r="L65" t="s">
        <v>375</v>
      </c>
      <c r="M65" s="72">
        <v>1</v>
      </c>
      <c r="O65">
        <v>0</v>
      </c>
      <c r="P65">
        <v>0</v>
      </c>
      <c r="Q65">
        <v>1</v>
      </c>
      <c r="R65">
        <v>0</v>
      </c>
      <c r="S65">
        <v>1</v>
      </c>
    </row>
    <row r="66" spans="1:19" x14ac:dyDescent="0.25">
      <c r="A66" t="str">
        <f t="shared" ref="A66:A72" si="6">C66&amp;D66</f>
        <v>U3</v>
      </c>
      <c r="B66">
        <v>142</v>
      </c>
      <c r="C66" s="49" t="s">
        <v>388</v>
      </c>
      <c r="D66">
        <v>3</v>
      </c>
      <c r="E66" s="49" t="s">
        <v>146</v>
      </c>
      <c r="F66" s="50" t="s">
        <v>382</v>
      </c>
      <c r="G66" s="50">
        <v>909</v>
      </c>
      <c r="H66" s="12">
        <v>0.50347222222222221</v>
      </c>
      <c r="I66" s="12">
        <v>0.90277777777777779</v>
      </c>
      <c r="J66" s="12">
        <f>I66-H66</f>
        <v>0.39930555555555558</v>
      </c>
      <c r="K66" s="13">
        <v>9.5</v>
      </c>
      <c r="L66" t="s">
        <v>375</v>
      </c>
      <c r="M66" s="72">
        <v>1</v>
      </c>
      <c r="O66">
        <v>0</v>
      </c>
      <c r="P66">
        <v>0</v>
      </c>
      <c r="Q66">
        <v>0</v>
      </c>
      <c r="R66">
        <v>1</v>
      </c>
      <c r="S66">
        <v>1</v>
      </c>
    </row>
    <row r="67" spans="1:19" x14ac:dyDescent="0.25">
      <c r="A67" t="str">
        <f t="shared" si="6"/>
        <v>V3</v>
      </c>
      <c r="B67">
        <v>158</v>
      </c>
      <c r="C67" s="25" t="s">
        <v>389</v>
      </c>
      <c r="D67">
        <v>3</v>
      </c>
      <c r="E67" s="48" t="s">
        <v>146</v>
      </c>
      <c r="F67" s="26" t="s">
        <v>382</v>
      </c>
      <c r="G67" s="26">
        <v>795</v>
      </c>
      <c r="H67" s="12">
        <v>0.56944444444444398</v>
      </c>
      <c r="I67" s="12">
        <v>0.40972222222222227</v>
      </c>
      <c r="J67" s="12">
        <f t="shared" ref="J67:J72" si="7">(I67-(H67-H$2))+X$2</f>
        <v>0.84027777777777835</v>
      </c>
      <c r="K67" s="13">
        <v>20.25</v>
      </c>
      <c r="L67" t="s">
        <v>380</v>
      </c>
      <c r="M67" s="72">
        <v>0</v>
      </c>
      <c r="N67">
        <v>1</v>
      </c>
      <c r="O67">
        <v>0</v>
      </c>
      <c r="P67">
        <v>0</v>
      </c>
      <c r="Q67">
        <v>0</v>
      </c>
      <c r="R67">
        <v>0</v>
      </c>
      <c r="S67">
        <v>1</v>
      </c>
    </row>
    <row r="68" spans="1:19" x14ac:dyDescent="0.25">
      <c r="A68" t="str">
        <f t="shared" si="6"/>
        <v>X3</v>
      </c>
      <c r="B68">
        <v>162</v>
      </c>
      <c r="C68" s="106" t="s">
        <v>390</v>
      </c>
      <c r="D68">
        <v>3</v>
      </c>
      <c r="E68" s="48" t="s">
        <v>71</v>
      </c>
      <c r="F68" s="51" t="s">
        <v>382</v>
      </c>
      <c r="G68" s="51">
        <v>828</v>
      </c>
      <c r="H68" s="12">
        <v>0.52777777777777801</v>
      </c>
      <c r="I68" s="12">
        <v>0.4375</v>
      </c>
      <c r="J68" s="12">
        <f t="shared" si="7"/>
        <v>0.90972222222222199</v>
      </c>
      <c r="K68" s="13">
        <v>21.75</v>
      </c>
      <c r="L68" t="s">
        <v>380</v>
      </c>
      <c r="M68" s="72">
        <v>0</v>
      </c>
      <c r="O68">
        <v>0</v>
      </c>
      <c r="P68">
        <v>0</v>
      </c>
      <c r="Q68">
        <v>0</v>
      </c>
      <c r="R68">
        <v>0</v>
      </c>
      <c r="S68">
        <v>1</v>
      </c>
    </row>
    <row r="69" spans="1:19" x14ac:dyDescent="0.25">
      <c r="A69" t="str">
        <f t="shared" si="6"/>
        <v>Y3</v>
      </c>
      <c r="B69">
        <v>156</v>
      </c>
      <c r="C69" s="25" t="s">
        <v>384</v>
      </c>
      <c r="D69">
        <v>3</v>
      </c>
      <c r="E69" s="48" t="s">
        <v>146</v>
      </c>
      <c r="F69" s="26" t="s">
        <v>382</v>
      </c>
      <c r="G69" s="26">
        <v>702</v>
      </c>
      <c r="H69" s="12">
        <v>0.53819444444444398</v>
      </c>
      <c r="I69" s="12">
        <v>0.39583333333333331</v>
      </c>
      <c r="J69" s="12">
        <f t="shared" si="7"/>
        <v>0.85763888888888928</v>
      </c>
      <c r="K69" s="13">
        <v>20.5</v>
      </c>
      <c r="L69" t="s">
        <v>583</v>
      </c>
      <c r="M69" s="72">
        <v>1</v>
      </c>
      <c r="N69">
        <v>1</v>
      </c>
      <c r="O69">
        <v>0</v>
      </c>
      <c r="P69">
        <v>0</v>
      </c>
      <c r="Q69">
        <v>1</v>
      </c>
      <c r="R69">
        <v>0</v>
      </c>
      <c r="S69">
        <v>1</v>
      </c>
    </row>
    <row r="70" spans="1:19" x14ac:dyDescent="0.25">
      <c r="A70" t="str">
        <f t="shared" si="6"/>
        <v>Æ3</v>
      </c>
      <c r="B70">
        <v>163</v>
      </c>
      <c r="C70" s="52" t="s">
        <v>202</v>
      </c>
      <c r="D70">
        <v>3</v>
      </c>
      <c r="E70" s="48" t="s">
        <v>54</v>
      </c>
      <c r="F70" s="53" t="s">
        <v>382</v>
      </c>
      <c r="G70" s="53">
        <v>908</v>
      </c>
      <c r="H70" s="12">
        <v>0.53125</v>
      </c>
      <c r="I70" s="12">
        <v>0.44444444444444442</v>
      </c>
      <c r="J70" s="12">
        <f t="shared" si="7"/>
        <v>0.91319444444444442</v>
      </c>
      <c r="K70" s="13">
        <v>22</v>
      </c>
      <c r="L70" t="s">
        <v>380</v>
      </c>
      <c r="M70" s="72">
        <v>0</v>
      </c>
      <c r="O70">
        <v>0</v>
      </c>
      <c r="P70">
        <v>1</v>
      </c>
      <c r="Q70">
        <v>0</v>
      </c>
      <c r="R70">
        <v>0</v>
      </c>
      <c r="S70">
        <v>1</v>
      </c>
    </row>
    <row r="71" spans="1:19" x14ac:dyDescent="0.25">
      <c r="A71" t="str">
        <f t="shared" si="6"/>
        <v>Ø3</v>
      </c>
      <c r="B71">
        <v>154</v>
      </c>
      <c r="C71" s="24" t="s">
        <v>175</v>
      </c>
      <c r="D71">
        <v>3</v>
      </c>
      <c r="E71" s="48" t="s">
        <v>142</v>
      </c>
      <c r="F71" s="36" t="s">
        <v>382</v>
      </c>
      <c r="G71" s="36">
        <v>826</v>
      </c>
      <c r="H71" s="12">
        <v>0.56597222222222199</v>
      </c>
      <c r="I71" s="12">
        <v>0.38194444444444442</v>
      </c>
      <c r="J71" s="12">
        <f t="shared" si="7"/>
        <v>0.81597222222222243</v>
      </c>
      <c r="K71" s="13">
        <v>19.5</v>
      </c>
      <c r="L71" t="s">
        <v>380</v>
      </c>
      <c r="M71" s="72">
        <v>0</v>
      </c>
      <c r="N71">
        <v>1</v>
      </c>
      <c r="O71">
        <v>0</v>
      </c>
      <c r="P71">
        <v>0</v>
      </c>
      <c r="Q71">
        <v>0</v>
      </c>
      <c r="R71">
        <v>0</v>
      </c>
      <c r="S71">
        <v>0</v>
      </c>
    </row>
    <row r="72" spans="1:19" x14ac:dyDescent="0.25">
      <c r="A72" t="str">
        <f t="shared" si="6"/>
        <v>Å3</v>
      </c>
      <c r="B72">
        <v>147</v>
      </c>
      <c r="C72" s="49" t="s">
        <v>145</v>
      </c>
      <c r="D72">
        <v>3</v>
      </c>
      <c r="E72" s="49" t="s">
        <v>142</v>
      </c>
      <c r="F72" s="50" t="s">
        <v>382</v>
      </c>
      <c r="G72" s="50">
        <v>970</v>
      </c>
      <c r="H72" s="12">
        <v>0.51736111111111105</v>
      </c>
      <c r="I72" s="12">
        <v>0.10416666666666667</v>
      </c>
      <c r="J72" s="12">
        <f t="shared" si="7"/>
        <v>0.58680555555555558</v>
      </c>
      <c r="K72" s="13">
        <v>14</v>
      </c>
      <c r="L72" t="s">
        <v>375</v>
      </c>
      <c r="M72" s="72">
        <v>1</v>
      </c>
    </row>
    <row r="73" spans="1:19" x14ac:dyDescent="0.25">
      <c r="K73" s="13"/>
    </row>
    <row r="74" spans="1:19" x14ac:dyDescent="0.25">
      <c r="K74" s="13"/>
    </row>
    <row r="75" spans="1:19" x14ac:dyDescent="0.25">
      <c r="K75" s="13"/>
    </row>
    <row r="76" spans="1:19" x14ac:dyDescent="0.25">
      <c r="K76" s="13"/>
    </row>
    <row r="77" spans="1:19" x14ac:dyDescent="0.25">
      <c r="K77" s="13"/>
    </row>
    <row r="78" spans="1:19" x14ac:dyDescent="0.25">
      <c r="K78" s="13"/>
    </row>
    <row r="79" spans="1:19" x14ac:dyDescent="0.25">
      <c r="K79" s="13"/>
    </row>
    <row r="80" spans="1:19" x14ac:dyDescent="0.25">
      <c r="K80" s="13"/>
    </row>
    <row r="81" spans="11:11" x14ac:dyDescent="0.25">
      <c r="K81" s="13"/>
    </row>
    <row r="82" spans="11:11" x14ac:dyDescent="0.25">
      <c r="K82" s="13"/>
    </row>
    <row r="83" spans="11:11" x14ac:dyDescent="0.25">
      <c r="K83" s="13"/>
    </row>
    <row r="84" spans="11:11" x14ac:dyDescent="0.25">
      <c r="K84" s="13"/>
    </row>
    <row r="85" spans="11:11" x14ac:dyDescent="0.25">
      <c r="K85" s="13"/>
    </row>
    <row r="86" spans="11:11" x14ac:dyDescent="0.25">
      <c r="K86" s="13"/>
    </row>
    <row r="87" spans="11:11" x14ac:dyDescent="0.25">
      <c r="K87" s="13"/>
    </row>
    <row r="88" spans="11:11" x14ac:dyDescent="0.25">
      <c r="K88" s="13"/>
    </row>
    <row r="89" spans="11:11" x14ac:dyDescent="0.25">
      <c r="K89" s="13"/>
    </row>
    <row r="90" spans="11:11" x14ac:dyDescent="0.25">
      <c r="K90" s="13"/>
    </row>
    <row r="91" spans="11:11" x14ac:dyDescent="0.25">
      <c r="K91" s="13"/>
    </row>
    <row r="92" spans="11:11" x14ac:dyDescent="0.25">
      <c r="K92" s="13"/>
    </row>
    <row r="93" spans="11:11" x14ac:dyDescent="0.25">
      <c r="K93" s="13"/>
    </row>
  </sheetData>
  <sortState xmlns:xlrd2="http://schemas.microsoft.com/office/spreadsheetml/2017/richdata2" ref="A2:U72">
    <sortCondition ref="D2:D72"/>
    <sortCondition ref="C2:C72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E331"/>
  <sheetViews>
    <sheetView topLeftCell="Y1" zoomScale="85" zoomScaleNormal="85" workbookViewId="0">
      <pane ySplit="1" topLeftCell="A2" activePane="bottomLeft" state="frozen"/>
      <selection pane="bottomLeft" activeCell="BF1" sqref="BF1"/>
    </sheetView>
  </sheetViews>
  <sheetFormatPr defaultRowHeight="15" x14ac:dyDescent="0.25"/>
  <cols>
    <col min="5" max="5" width="14.28515625" customWidth="1"/>
    <col min="13" max="13" width="13.5703125" customWidth="1"/>
    <col min="15" max="15" width="16.5703125" customWidth="1"/>
  </cols>
  <sheetData>
    <row r="1" spans="1:57" x14ac:dyDescent="0.25">
      <c r="A1" t="s">
        <v>366</v>
      </c>
      <c r="B1" t="s">
        <v>588</v>
      </c>
      <c r="C1" t="s">
        <v>0</v>
      </c>
      <c r="D1" t="s">
        <v>1</v>
      </c>
      <c r="E1" t="s">
        <v>2</v>
      </c>
      <c r="F1" t="s">
        <v>367</v>
      </c>
      <c r="G1" t="s">
        <v>589</v>
      </c>
      <c r="H1" t="s">
        <v>37</v>
      </c>
      <c r="I1" t="s">
        <v>587</v>
      </c>
      <c r="J1" t="s">
        <v>590</v>
      </c>
      <c r="K1" t="s">
        <v>591</v>
      </c>
      <c r="L1" t="s">
        <v>3</v>
      </c>
      <c r="M1" t="s">
        <v>592</v>
      </c>
      <c r="N1" t="s">
        <v>593</v>
      </c>
      <c r="O1" t="s">
        <v>594</v>
      </c>
      <c r="P1" t="s">
        <v>595</v>
      </c>
      <c r="Q1" t="s">
        <v>4</v>
      </c>
      <c r="R1" t="s">
        <v>26</v>
      </c>
      <c r="S1" t="s">
        <v>25</v>
      </c>
      <c r="T1" t="s">
        <v>28</v>
      </c>
      <c r="U1" t="s">
        <v>4</v>
      </c>
      <c r="V1" t="s">
        <v>32</v>
      </c>
      <c r="W1" t="s">
        <v>23</v>
      </c>
      <c r="X1" t="s">
        <v>14</v>
      </c>
      <c r="Y1" t="s">
        <v>30</v>
      </c>
      <c r="Z1" t="s">
        <v>20</v>
      </c>
      <c r="AB1" t="s">
        <v>18</v>
      </c>
      <c r="AC1" t="s">
        <v>21</v>
      </c>
      <c r="AD1" t="s">
        <v>10</v>
      </c>
      <c r="AE1" t="s">
        <v>13</v>
      </c>
      <c r="AF1" t="s">
        <v>15</v>
      </c>
      <c r="AG1" t="s">
        <v>19</v>
      </c>
      <c r="AI1" t="s">
        <v>35</v>
      </c>
      <c r="AJ1" t="s">
        <v>24</v>
      </c>
      <c r="AK1" t="s">
        <v>12</v>
      </c>
      <c r="AL1" t="s">
        <v>31</v>
      </c>
      <c r="AM1" t="s">
        <v>8</v>
      </c>
      <c r="AN1" t="s">
        <v>7</v>
      </c>
      <c r="AO1" t="s">
        <v>6</v>
      </c>
      <c r="AP1" t="s">
        <v>22</v>
      </c>
      <c r="AQ1" t="s">
        <v>11</v>
      </c>
      <c r="AR1" t="s">
        <v>9</v>
      </c>
      <c r="AS1" t="s">
        <v>16</v>
      </c>
      <c r="AT1" t="s">
        <v>33</v>
      </c>
      <c r="AU1" t="s">
        <v>34</v>
      </c>
      <c r="AV1" t="s">
        <v>17</v>
      </c>
      <c r="AW1" t="s">
        <v>27</v>
      </c>
      <c r="AX1" t="s">
        <v>29</v>
      </c>
      <c r="AY1" t="s">
        <v>5</v>
      </c>
      <c r="AZ1" t="s">
        <v>140</v>
      </c>
      <c r="BA1" t="s">
        <v>139</v>
      </c>
      <c r="BB1" t="s">
        <v>138</v>
      </c>
      <c r="BC1" t="s">
        <v>141</v>
      </c>
      <c r="BD1" t="s">
        <v>1438</v>
      </c>
      <c r="BE1" t="s">
        <v>1439</v>
      </c>
    </row>
    <row r="2" spans="1:57" x14ac:dyDescent="0.25">
      <c r="A2" t="s">
        <v>791</v>
      </c>
      <c r="C2" t="s">
        <v>36</v>
      </c>
      <c r="D2">
        <v>1</v>
      </c>
      <c r="E2" t="s">
        <v>142</v>
      </c>
      <c r="F2" t="s">
        <v>60</v>
      </c>
      <c r="G2">
        <v>803</v>
      </c>
      <c r="H2">
        <v>1</v>
      </c>
      <c r="I2">
        <v>1</v>
      </c>
      <c r="J2">
        <v>0</v>
      </c>
      <c r="K2" t="s">
        <v>792</v>
      </c>
      <c r="L2" t="s">
        <v>597</v>
      </c>
      <c r="M2" t="s">
        <v>597</v>
      </c>
      <c r="P2" t="s">
        <v>38</v>
      </c>
      <c r="Q2">
        <v>4.4000000000000004</v>
      </c>
      <c r="R2">
        <v>7.1040000000000001</v>
      </c>
      <c r="S2">
        <v>7.39</v>
      </c>
      <c r="T2">
        <v>4.97</v>
      </c>
      <c r="U2">
        <v>4.4000000000000004</v>
      </c>
      <c r="V2">
        <v>73.099999999999994</v>
      </c>
      <c r="W2">
        <v>70.599999999999994</v>
      </c>
      <c r="X2">
        <v>2.6</v>
      </c>
      <c r="Y2">
        <v>26</v>
      </c>
      <c r="Z2">
        <v>0.8</v>
      </c>
      <c r="AB2">
        <v>3.6</v>
      </c>
      <c r="AC2">
        <v>135</v>
      </c>
      <c r="AD2">
        <v>1.6</v>
      </c>
      <c r="AE2">
        <v>96</v>
      </c>
      <c r="AF2" t="s">
        <v>793</v>
      </c>
      <c r="AG2">
        <v>13.5</v>
      </c>
      <c r="AI2">
        <v>7.1</v>
      </c>
      <c r="AJ2">
        <v>3.42</v>
      </c>
      <c r="AK2">
        <v>-12.2</v>
      </c>
      <c r="AL2">
        <v>15</v>
      </c>
      <c r="AM2">
        <v>100.4</v>
      </c>
      <c r="AN2">
        <v>21.7</v>
      </c>
      <c r="AO2">
        <v>25.3</v>
      </c>
      <c r="AP2">
        <v>9.5</v>
      </c>
      <c r="AQ2">
        <v>-11.4</v>
      </c>
      <c r="AR2">
        <v>1.36</v>
      </c>
      <c r="AS2">
        <v>17.399999999999999</v>
      </c>
      <c r="AT2">
        <v>40.200000000000003</v>
      </c>
      <c r="AU2">
        <v>42.7</v>
      </c>
      <c r="AV2">
        <v>21.7</v>
      </c>
      <c r="AW2">
        <v>7196</v>
      </c>
      <c r="AX2" t="s">
        <v>794</v>
      </c>
      <c r="AY2" t="s">
        <v>795</v>
      </c>
      <c r="AZ2">
        <v>280.7</v>
      </c>
      <c r="BA2">
        <v>78.599999999999994</v>
      </c>
      <c r="BB2">
        <v>-11.4</v>
      </c>
      <c r="BC2">
        <v>-12.2</v>
      </c>
      <c r="BD2">
        <v>-11.8</v>
      </c>
      <c r="BE2">
        <v>-12.5</v>
      </c>
    </row>
    <row r="3" spans="1:57" x14ac:dyDescent="0.25">
      <c r="A3" t="s">
        <v>686</v>
      </c>
      <c r="C3" t="s">
        <v>39</v>
      </c>
      <c r="D3">
        <v>1</v>
      </c>
      <c r="E3" t="s">
        <v>40</v>
      </c>
      <c r="F3" t="s">
        <v>49</v>
      </c>
      <c r="G3">
        <v>1222</v>
      </c>
      <c r="H3">
        <v>0</v>
      </c>
      <c r="I3">
        <v>1</v>
      </c>
      <c r="J3">
        <v>1</v>
      </c>
      <c r="K3" t="s">
        <v>687</v>
      </c>
      <c r="L3" t="s">
        <v>597</v>
      </c>
      <c r="M3" t="s">
        <v>597</v>
      </c>
      <c r="P3" t="s">
        <v>41</v>
      </c>
      <c r="Q3">
        <v>5</v>
      </c>
      <c r="R3">
        <v>7.1130000000000004</v>
      </c>
      <c r="S3">
        <v>10</v>
      </c>
      <c r="T3">
        <v>16.7</v>
      </c>
      <c r="U3">
        <v>5</v>
      </c>
      <c r="V3">
        <v>104.9</v>
      </c>
      <c r="W3">
        <v>100.5</v>
      </c>
      <c r="X3">
        <v>3.2</v>
      </c>
      <c r="Y3">
        <v>-4.7</v>
      </c>
      <c r="Z3">
        <v>1</v>
      </c>
      <c r="AB3">
        <v>5.9</v>
      </c>
      <c r="AC3">
        <v>117</v>
      </c>
      <c r="AD3">
        <v>1.32</v>
      </c>
      <c r="AE3">
        <v>80</v>
      </c>
      <c r="AF3" t="s">
        <v>688</v>
      </c>
      <c r="AG3">
        <v>1.2</v>
      </c>
      <c r="AK3">
        <v>-5.4</v>
      </c>
      <c r="AM3">
        <v>100.4</v>
      </c>
      <c r="AN3">
        <v>13</v>
      </c>
      <c r="AO3">
        <v>18.899999999999999</v>
      </c>
      <c r="AP3">
        <v>10.7</v>
      </c>
      <c r="AQ3">
        <v>-5.5</v>
      </c>
      <c r="AR3">
        <v>1.1299999999999999</v>
      </c>
      <c r="AS3">
        <v>24.1</v>
      </c>
      <c r="AU3">
        <v>59.1</v>
      </c>
      <c r="AV3">
        <v>24.5</v>
      </c>
      <c r="AW3">
        <v>7300</v>
      </c>
      <c r="AX3" t="s">
        <v>689</v>
      </c>
      <c r="AY3" t="s">
        <v>690</v>
      </c>
      <c r="BA3">
        <v>77.099999999999994</v>
      </c>
      <c r="BB3">
        <v>-5.5</v>
      </c>
      <c r="BC3">
        <v>-5.4</v>
      </c>
    </row>
    <row r="4" spans="1:57" x14ac:dyDescent="0.25">
      <c r="A4" t="s">
        <v>805</v>
      </c>
      <c r="C4" t="s">
        <v>43</v>
      </c>
      <c r="D4">
        <v>1</v>
      </c>
      <c r="E4" t="s">
        <v>146</v>
      </c>
      <c r="F4" t="s">
        <v>49</v>
      </c>
      <c r="G4">
        <v>1065.9000000000001</v>
      </c>
      <c r="H4">
        <v>0</v>
      </c>
      <c r="I4">
        <v>1</v>
      </c>
      <c r="J4">
        <v>0</v>
      </c>
      <c r="K4" t="s">
        <v>806</v>
      </c>
      <c r="L4" t="s">
        <v>597</v>
      </c>
      <c r="M4" t="s">
        <v>597</v>
      </c>
      <c r="P4" t="s">
        <v>44</v>
      </c>
      <c r="Q4">
        <v>5.0999999999999996</v>
      </c>
      <c r="R4">
        <v>7.1159999999999997</v>
      </c>
      <c r="S4">
        <v>10.199999999999999</v>
      </c>
      <c r="T4">
        <v>10.6</v>
      </c>
      <c r="U4">
        <v>5.0999999999999996</v>
      </c>
      <c r="V4">
        <v>97.5</v>
      </c>
      <c r="W4">
        <v>95.8</v>
      </c>
      <c r="X4">
        <v>1.4</v>
      </c>
      <c r="Y4">
        <v>2.5</v>
      </c>
      <c r="Z4">
        <v>0.3</v>
      </c>
      <c r="AB4">
        <v>5.7</v>
      </c>
      <c r="AC4">
        <v>141</v>
      </c>
      <c r="AD4">
        <v>0.98</v>
      </c>
      <c r="AE4">
        <v>98</v>
      </c>
      <c r="AF4" t="s">
        <v>807</v>
      </c>
      <c r="AG4">
        <v>1.2</v>
      </c>
      <c r="AI4">
        <v>11.2</v>
      </c>
      <c r="AJ4">
        <v>3.96</v>
      </c>
      <c r="AK4">
        <v>-4.9000000000000004</v>
      </c>
      <c r="AL4">
        <v>20.100000000000001</v>
      </c>
      <c r="AM4">
        <v>100.4</v>
      </c>
      <c r="AN4">
        <v>18.5</v>
      </c>
      <c r="AO4">
        <v>24.2</v>
      </c>
      <c r="AP4">
        <v>11.3</v>
      </c>
      <c r="AQ4">
        <v>-5.0999999999999996</v>
      </c>
      <c r="AR4">
        <v>0.84</v>
      </c>
      <c r="AS4">
        <v>24.5</v>
      </c>
      <c r="AT4">
        <v>55.7</v>
      </c>
      <c r="AU4">
        <v>60.2</v>
      </c>
      <c r="AV4">
        <v>25.2</v>
      </c>
      <c r="AW4">
        <v>7307</v>
      </c>
      <c r="AX4" t="s">
        <v>808</v>
      </c>
      <c r="AY4" t="s">
        <v>809</v>
      </c>
      <c r="AZ4">
        <v>312.8</v>
      </c>
      <c r="BA4">
        <v>76.5</v>
      </c>
      <c r="BB4">
        <v>-5.0999999999999996</v>
      </c>
      <c r="BC4">
        <v>-4.9000000000000004</v>
      </c>
      <c r="BD4">
        <v>-5.2</v>
      </c>
      <c r="BE4">
        <v>-4.9000000000000004</v>
      </c>
    </row>
    <row r="5" spans="1:57" x14ac:dyDescent="0.25">
      <c r="A5" t="s">
        <v>816</v>
      </c>
      <c r="C5" t="s">
        <v>45</v>
      </c>
      <c r="D5">
        <v>1</v>
      </c>
      <c r="E5" t="s">
        <v>146</v>
      </c>
      <c r="F5" t="s">
        <v>49</v>
      </c>
      <c r="G5">
        <v>1224</v>
      </c>
      <c r="H5">
        <v>0</v>
      </c>
      <c r="I5">
        <v>1</v>
      </c>
      <c r="J5">
        <v>0</v>
      </c>
      <c r="K5" t="s">
        <v>817</v>
      </c>
      <c r="L5" t="s">
        <v>597</v>
      </c>
      <c r="M5" t="s">
        <v>597</v>
      </c>
      <c r="P5" t="s">
        <v>46</v>
      </c>
      <c r="Q5">
        <v>4.5999999999999996</v>
      </c>
      <c r="R5">
        <v>6.8479999999999999</v>
      </c>
      <c r="S5">
        <v>11.1</v>
      </c>
      <c r="T5">
        <v>6.09</v>
      </c>
      <c r="U5">
        <v>4.5999999999999996</v>
      </c>
      <c r="V5">
        <v>69.8</v>
      </c>
      <c r="W5">
        <v>67.3</v>
      </c>
      <c r="X5">
        <v>2.7</v>
      </c>
      <c r="Y5">
        <v>29.1</v>
      </c>
      <c r="Z5">
        <v>0.9</v>
      </c>
      <c r="AB5">
        <v>3.4</v>
      </c>
      <c r="AC5">
        <v>157</v>
      </c>
      <c r="AD5">
        <v>1.35</v>
      </c>
      <c r="AE5">
        <v>115</v>
      </c>
      <c r="AF5" t="s">
        <v>818</v>
      </c>
      <c r="AG5">
        <v>19</v>
      </c>
      <c r="AI5">
        <v>7.1</v>
      </c>
      <c r="AJ5">
        <v>4.5</v>
      </c>
      <c r="AK5">
        <v>-19.3</v>
      </c>
      <c r="AL5">
        <v>10.199999999999999</v>
      </c>
      <c r="AM5">
        <v>100.4</v>
      </c>
      <c r="AN5">
        <v>27.9</v>
      </c>
      <c r="AO5">
        <v>31.3</v>
      </c>
      <c r="AP5">
        <v>9.9</v>
      </c>
      <c r="AQ5">
        <v>-18.3</v>
      </c>
      <c r="AR5">
        <v>0.99</v>
      </c>
      <c r="AS5">
        <v>14.5</v>
      </c>
      <c r="AT5">
        <v>36.4</v>
      </c>
      <c r="AU5">
        <v>38.200000000000003</v>
      </c>
      <c r="AV5">
        <v>22.7</v>
      </c>
      <c r="AW5">
        <v>7027</v>
      </c>
      <c r="AX5" t="s">
        <v>819</v>
      </c>
      <c r="AY5" t="s">
        <v>820</v>
      </c>
      <c r="AZ5">
        <v>318.39999999999998</v>
      </c>
      <c r="BA5">
        <v>142.1</v>
      </c>
      <c r="BB5">
        <v>-18.3</v>
      </c>
      <c r="BC5">
        <v>-19.3</v>
      </c>
      <c r="BD5">
        <v>-18.7</v>
      </c>
      <c r="BE5">
        <v>-19.600000000000001</v>
      </c>
    </row>
    <row r="6" spans="1:57" x14ac:dyDescent="0.25">
      <c r="A6" t="s">
        <v>837</v>
      </c>
      <c r="B6">
        <v>108</v>
      </c>
      <c r="C6" t="s">
        <v>47</v>
      </c>
      <c r="D6">
        <v>1</v>
      </c>
      <c r="E6" t="s">
        <v>146</v>
      </c>
      <c r="F6" t="s">
        <v>60</v>
      </c>
      <c r="G6">
        <v>1174</v>
      </c>
      <c r="H6">
        <v>0</v>
      </c>
      <c r="I6">
        <v>1</v>
      </c>
      <c r="J6">
        <v>0</v>
      </c>
      <c r="K6" t="s">
        <v>838</v>
      </c>
      <c r="L6" t="s">
        <v>597</v>
      </c>
      <c r="M6" t="s">
        <v>597</v>
      </c>
      <c r="P6" t="s">
        <v>48</v>
      </c>
      <c r="Q6">
        <v>6</v>
      </c>
      <c r="R6">
        <v>7.33</v>
      </c>
      <c r="S6">
        <v>8.4600000000000009</v>
      </c>
      <c r="T6">
        <v>7.22</v>
      </c>
      <c r="U6">
        <v>6</v>
      </c>
      <c r="V6">
        <v>92.8</v>
      </c>
      <c r="W6">
        <v>91.2</v>
      </c>
      <c r="X6">
        <v>1.4</v>
      </c>
      <c r="Y6">
        <v>7.1</v>
      </c>
      <c r="Z6">
        <v>0.3</v>
      </c>
      <c r="AB6">
        <v>4.9000000000000004</v>
      </c>
      <c r="AC6">
        <v>135</v>
      </c>
      <c r="AD6">
        <v>1.4</v>
      </c>
      <c r="AE6">
        <v>95</v>
      </c>
      <c r="AF6" t="s">
        <v>839</v>
      </c>
      <c r="AG6">
        <v>2</v>
      </c>
      <c r="AI6">
        <v>12.5</v>
      </c>
      <c r="AJ6">
        <v>2.78</v>
      </c>
      <c r="AK6">
        <v>7.5</v>
      </c>
      <c r="AL6">
        <v>29.9</v>
      </c>
      <c r="AM6">
        <v>100.4</v>
      </c>
      <c r="AN6">
        <v>6.2</v>
      </c>
      <c r="AO6">
        <v>11.2</v>
      </c>
      <c r="AP6">
        <v>13.3</v>
      </c>
      <c r="AQ6">
        <v>6.1</v>
      </c>
      <c r="AR6">
        <v>1.34</v>
      </c>
      <c r="AS6">
        <v>33.4</v>
      </c>
      <c r="AT6">
        <v>71.3</v>
      </c>
      <c r="AU6">
        <v>79.2</v>
      </c>
      <c r="AV6">
        <v>29.8</v>
      </c>
      <c r="AW6">
        <v>7479</v>
      </c>
      <c r="AX6" t="s">
        <v>840</v>
      </c>
      <c r="AY6" t="s">
        <v>841</v>
      </c>
      <c r="AZ6">
        <v>280.7</v>
      </c>
      <c r="BA6">
        <v>46.8</v>
      </c>
      <c r="BB6">
        <v>6.1</v>
      </c>
      <c r="BC6">
        <v>7.5</v>
      </c>
      <c r="BD6">
        <v>6</v>
      </c>
      <c r="BE6">
        <v>7.4</v>
      </c>
    </row>
    <row r="7" spans="1:57" x14ac:dyDescent="0.25">
      <c r="A7" t="s">
        <v>650</v>
      </c>
      <c r="B7">
        <v>105</v>
      </c>
      <c r="C7" t="s">
        <v>49</v>
      </c>
      <c r="D7">
        <v>1</v>
      </c>
      <c r="E7" t="s">
        <v>40</v>
      </c>
      <c r="F7" t="s">
        <v>49</v>
      </c>
      <c r="G7">
        <v>1038.5</v>
      </c>
      <c r="H7">
        <v>0</v>
      </c>
      <c r="I7">
        <v>1</v>
      </c>
      <c r="J7">
        <v>1</v>
      </c>
      <c r="K7" t="s">
        <v>651</v>
      </c>
      <c r="L7" t="s">
        <v>597</v>
      </c>
      <c r="M7" t="s">
        <v>597</v>
      </c>
      <c r="P7" t="s">
        <v>50</v>
      </c>
      <c r="Q7">
        <v>5.6</v>
      </c>
      <c r="R7">
        <v>7.3639999999999999</v>
      </c>
      <c r="S7">
        <v>7.04</v>
      </c>
      <c r="T7">
        <v>2.83</v>
      </c>
      <c r="U7">
        <v>5.6</v>
      </c>
      <c r="V7">
        <v>47.4</v>
      </c>
      <c r="W7">
        <v>46.7</v>
      </c>
      <c r="X7">
        <v>1.1000000000000001</v>
      </c>
      <c r="Y7">
        <v>51.8</v>
      </c>
      <c r="Z7">
        <v>0.4</v>
      </c>
      <c r="AB7">
        <v>3.2</v>
      </c>
      <c r="AC7">
        <v>141</v>
      </c>
      <c r="AD7">
        <v>1.1599999999999999</v>
      </c>
      <c r="AE7">
        <v>103</v>
      </c>
      <c r="AF7" t="s">
        <v>652</v>
      </c>
      <c r="AG7">
        <v>3.5</v>
      </c>
      <c r="AI7">
        <v>5.9</v>
      </c>
      <c r="AJ7">
        <v>2.95</v>
      </c>
      <c r="AK7">
        <v>4.7</v>
      </c>
      <c r="AL7">
        <v>27.2</v>
      </c>
      <c r="AM7">
        <v>100.4</v>
      </c>
      <c r="AN7">
        <v>7.7</v>
      </c>
      <c r="AO7">
        <v>10.9</v>
      </c>
      <c r="AP7">
        <v>12.3</v>
      </c>
      <c r="AQ7">
        <v>4</v>
      </c>
      <c r="AR7">
        <v>1.1399999999999999</v>
      </c>
      <c r="AS7">
        <v>30.1</v>
      </c>
      <c r="AT7">
        <v>65</v>
      </c>
      <c r="AU7">
        <v>71</v>
      </c>
      <c r="AV7">
        <v>27.5</v>
      </c>
      <c r="AW7">
        <v>7453</v>
      </c>
      <c r="AX7" t="s">
        <v>653</v>
      </c>
      <c r="AY7" t="s">
        <v>654</v>
      </c>
      <c r="AZ7">
        <v>284.60000000000002</v>
      </c>
      <c r="BA7">
        <v>43.3</v>
      </c>
      <c r="BB7">
        <v>4</v>
      </c>
      <c r="BC7">
        <v>4.7</v>
      </c>
      <c r="BD7">
        <v>3.1</v>
      </c>
      <c r="BE7">
        <v>4.2</v>
      </c>
    </row>
    <row r="8" spans="1:57" x14ac:dyDescent="0.25">
      <c r="A8" t="s">
        <v>842</v>
      </c>
      <c r="B8">
        <v>106</v>
      </c>
      <c r="C8" t="s">
        <v>51</v>
      </c>
      <c r="D8">
        <v>1</v>
      </c>
      <c r="E8" t="s">
        <v>146</v>
      </c>
      <c r="F8" t="s">
        <v>49</v>
      </c>
      <c r="G8">
        <v>932.1</v>
      </c>
      <c r="H8">
        <v>0</v>
      </c>
      <c r="I8">
        <v>1</v>
      </c>
      <c r="J8">
        <v>0</v>
      </c>
      <c r="K8" t="s">
        <v>843</v>
      </c>
      <c r="L8" t="s">
        <v>597</v>
      </c>
      <c r="M8" t="s">
        <v>597</v>
      </c>
      <c r="P8" t="s">
        <v>52</v>
      </c>
      <c r="Q8">
        <v>6.3</v>
      </c>
      <c r="R8">
        <v>7.3719999999999999</v>
      </c>
      <c r="S8">
        <v>7.82</v>
      </c>
      <c r="T8">
        <v>6.98</v>
      </c>
      <c r="U8">
        <v>6.3</v>
      </c>
      <c r="V8">
        <v>91.7</v>
      </c>
      <c r="W8">
        <v>90.3</v>
      </c>
      <c r="X8">
        <v>1.4</v>
      </c>
      <c r="Y8">
        <v>8.1999999999999993</v>
      </c>
      <c r="Z8">
        <v>0.1</v>
      </c>
      <c r="AB8">
        <v>2.8</v>
      </c>
      <c r="AC8">
        <v>169</v>
      </c>
      <c r="AD8">
        <v>0.82</v>
      </c>
      <c r="AE8">
        <v>115</v>
      </c>
      <c r="AF8" t="s">
        <v>844</v>
      </c>
      <c r="AG8">
        <v>1.2</v>
      </c>
      <c r="AI8">
        <v>12.9</v>
      </c>
      <c r="AJ8">
        <v>2.85</v>
      </c>
      <c r="AK8">
        <v>8.8000000000000007</v>
      </c>
      <c r="AL8">
        <v>31.1</v>
      </c>
      <c r="AM8">
        <v>100.4</v>
      </c>
      <c r="AN8">
        <v>19.899999999999999</v>
      </c>
      <c r="AO8">
        <v>22.7</v>
      </c>
      <c r="AP8">
        <v>13.9</v>
      </c>
      <c r="AQ8">
        <v>7.4</v>
      </c>
      <c r="AR8">
        <v>0.8</v>
      </c>
      <c r="AS8">
        <v>34.1</v>
      </c>
      <c r="AT8">
        <v>71.8</v>
      </c>
      <c r="AU8">
        <v>80.400000000000006</v>
      </c>
      <c r="AV8">
        <v>31.1</v>
      </c>
      <c r="AW8">
        <v>7497</v>
      </c>
      <c r="AX8" t="s">
        <v>845</v>
      </c>
      <c r="AY8" t="s">
        <v>846</v>
      </c>
      <c r="AZ8">
        <v>341.6</v>
      </c>
      <c r="BA8">
        <v>42.4</v>
      </c>
      <c r="BB8">
        <v>7.4</v>
      </c>
      <c r="BC8">
        <v>8.8000000000000007</v>
      </c>
      <c r="BD8">
        <v>7.3</v>
      </c>
      <c r="BE8">
        <v>8.6999999999999993</v>
      </c>
    </row>
    <row r="9" spans="1:57" x14ac:dyDescent="0.25">
      <c r="A9" t="s">
        <v>617</v>
      </c>
      <c r="B9">
        <v>111</v>
      </c>
      <c r="C9" t="s">
        <v>53</v>
      </c>
      <c r="D9">
        <v>1</v>
      </c>
      <c r="E9" t="s">
        <v>54</v>
      </c>
      <c r="F9" t="s">
        <v>60</v>
      </c>
      <c r="G9">
        <v>1165</v>
      </c>
      <c r="H9">
        <v>0</v>
      </c>
      <c r="I9">
        <v>0</v>
      </c>
      <c r="J9">
        <v>1</v>
      </c>
      <c r="K9" t="s">
        <v>618</v>
      </c>
      <c r="L9" t="s">
        <v>597</v>
      </c>
      <c r="M9" t="s">
        <v>597</v>
      </c>
      <c r="P9" t="s">
        <v>55</v>
      </c>
      <c r="Q9">
        <v>5.8</v>
      </c>
      <c r="R9">
        <v>7.431</v>
      </c>
      <c r="S9">
        <v>6.7</v>
      </c>
      <c r="T9">
        <v>7.05</v>
      </c>
      <c r="U9">
        <v>5.8</v>
      </c>
      <c r="V9">
        <v>94.8</v>
      </c>
      <c r="W9">
        <v>93.4</v>
      </c>
      <c r="X9">
        <v>1.2</v>
      </c>
      <c r="Y9">
        <v>5.0999999999999996</v>
      </c>
      <c r="Z9">
        <v>0.3</v>
      </c>
      <c r="AB9">
        <v>4</v>
      </c>
      <c r="AC9">
        <v>156</v>
      </c>
      <c r="AD9">
        <v>0.95</v>
      </c>
      <c r="AE9">
        <v>107</v>
      </c>
      <c r="AF9" t="s">
        <v>619</v>
      </c>
      <c r="AG9">
        <v>1.8</v>
      </c>
      <c r="AI9">
        <v>12.4</v>
      </c>
      <c r="AJ9">
        <v>2.31</v>
      </c>
      <c r="AK9">
        <v>9.1</v>
      </c>
      <c r="AL9">
        <v>31.8</v>
      </c>
      <c r="AM9">
        <v>100.4</v>
      </c>
      <c r="AN9">
        <v>15.5</v>
      </c>
      <c r="AO9">
        <v>19.5</v>
      </c>
      <c r="AP9">
        <v>12.9</v>
      </c>
      <c r="AQ9">
        <v>8</v>
      </c>
      <c r="AR9">
        <v>0.96</v>
      </c>
      <c r="AS9">
        <v>33.4</v>
      </c>
      <c r="AT9">
        <v>70.3</v>
      </c>
      <c r="AU9">
        <v>78.3</v>
      </c>
      <c r="AV9">
        <v>28.8</v>
      </c>
      <c r="AW9">
        <v>7507</v>
      </c>
      <c r="AX9" t="s">
        <v>620</v>
      </c>
      <c r="AY9" t="s">
        <v>621</v>
      </c>
      <c r="AZ9">
        <v>326.7</v>
      </c>
      <c r="BA9">
        <v>37.1</v>
      </c>
      <c r="BB9">
        <v>8</v>
      </c>
      <c r="BC9">
        <v>9.1</v>
      </c>
      <c r="BD9">
        <v>7.9</v>
      </c>
      <c r="BE9">
        <v>9.1</v>
      </c>
    </row>
    <row r="10" spans="1:57" x14ac:dyDescent="0.25">
      <c r="A10" t="s">
        <v>691</v>
      </c>
      <c r="B10">
        <v>107</v>
      </c>
      <c r="C10" t="s">
        <v>56</v>
      </c>
      <c r="D10">
        <v>1</v>
      </c>
      <c r="E10" t="s">
        <v>40</v>
      </c>
      <c r="F10" t="s">
        <v>60</v>
      </c>
      <c r="G10">
        <v>1075</v>
      </c>
      <c r="H10">
        <v>0</v>
      </c>
      <c r="I10">
        <v>1</v>
      </c>
      <c r="J10">
        <v>1</v>
      </c>
      <c r="K10" t="s">
        <v>618</v>
      </c>
      <c r="L10" t="s">
        <v>597</v>
      </c>
      <c r="M10" t="s">
        <v>597</v>
      </c>
      <c r="P10" t="s">
        <v>57</v>
      </c>
      <c r="Q10">
        <v>6.8</v>
      </c>
      <c r="R10">
        <v>7.2590000000000003</v>
      </c>
      <c r="S10">
        <v>8.26</v>
      </c>
      <c r="T10">
        <v>21.3</v>
      </c>
      <c r="U10">
        <v>6.8</v>
      </c>
      <c r="V10">
        <v>100.5</v>
      </c>
      <c r="W10">
        <v>99.9</v>
      </c>
      <c r="X10">
        <v>0.6</v>
      </c>
      <c r="Y10">
        <v>-0.5</v>
      </c>
      <c r="Z10">
        <v>0</v>
      </c>
      <c r="AB10">
        <v>5.3</v>
      </c>
      <c r="AC10">
        <v>123</v>
      </c>
      <c r="AD10">
        <v>1.28</v>
      </c>
      <c r="AE10">
        <v>87</v>
      </c>
      <c r="AF10" t="s">
        <v>692</v>
      </c>
      <c r="AG10">
        <v>1.2</v>
      </c>
      <c r="AI10">
        <v>15.7</v>
      </c>
      <c r="AJ10">
        <v>3.3</v>
      </c>
      <c r="AK10">
        <v>0.7</v>
      </c>
      <c r="AL10">
        <v>24.2</v>
      </c>
      <c r="AM10">
        <v>100.4</v>
      </c>
      <c r="AN10">
        <v>8.5</v>
      </c>
      <c r="AO10">
        <v>13.9</v>
      </c>
      <c r="AP10">
        <v>15.2</v>
      </c>
      <c r="AQ10">
        <v>-0.3</v>
      </c>
      <c r="AR10">
        <v>1.18</v>
      </c>
      <c r="AS10">
        <v>27.8</v>
      </c>
      <c r="AT10">
        <v>59.2</v>
      </c>
      <c r="AU10">
        <v>66.5</v>
      </c>
      <c r="AV10">
        <v>33.700000000000003</v>
      </c>
      <c r="AW10">
        <v>7390</v>
      </c>
      <c r="AX10" t="s">
        <v>693</v>
      </c>
      <c r="AY10" t="s">
        <v>694</v>
      </c>
      <c r="BA10">
        <v>55</v>
      </c>
      <c r="BB10">
        <v>-0.3</v>
      </c>
      <c r="BC10">
        <v>0.7</v>
      </c>
      <c r="BD10">
        <v>-0.3</v>
      </c>
      <c r="BE10">
        <v>0.7</v>
      </c>
    </row>
    <row r="11" spans="1:57" x14ac:dyDescent="0.25">
      <c r="A11" t="s">
        <v>734</v>
      </c>
      <c r="C11" t="s">
        <v>80</v>
      </c>
      <c r="D11">
        <v>1</v>
      </c>
      <c r="E11" t="s">
        <v>142</v>
      </c>
      <c r="F11" t="s">
        <v>60</v>
      </c>
      <c r="G11">
        <v>1324.5</v>
      </c>
      <c r="H11">
        <v>1</v>
      </c>
      <c r="I11">
        <v>1</v>
      </c>
      <c r="J11">
        <v>0</v>
      </c>
      <c r="K11" t="s">
        <v>735</v>
      </c>
      <c r="L11" t="s">
        <v>597</v>
      </c>
      <c r="M11" t="s">
        <v>597</v>
      </c>
      <c r="P11" t="s">
        <v>136</v>
      </c>
      <c r="Q11">
        <v>4.8</v>
      </c>
      <c r="R11">
        <v>7.3470000000000004</v>
      </c>
      <c r="S11">
        <v>7.79</v>
      </c>
      <c r="T11">
        <v>6.62</v>
      </c>
      <c r="U11">
        <v>4.8</v>
      </c>
      <c r="V11">
        <v>93.8</v>
      </c>
      <c r="W11">
        <v>90</v>
      </c>
      <c r="X11">
        <v>3.4</v>
      </c>
      <c r="Y11">
        <v>5.9</v>
      </c>
      <c r="Z11">
        <v>0.7</v>
      </c>
      <c r="AB11">
        <v>3.5</v>
      </c>
      <c r="AC11">
        <v>139</v>
      </c>
      <c r="AD11">
        <v>1.32</v>
      </c>
      <c r="AE11">
        <v>95</v>
      </c>
      <c r="AF11" t="s">
        <v>736</v>
      </c>
      <c r="AG11">
        <v>3.8</v>
      </c>
      <c r="AI11">
        <v>9.8000000000000007</v>
      </c>
      <c r="AJ11">
        <v>2.31</v>
      </c>
      <c r="AK11">
        <v>6.3</v>
      </c>
      <c r="AL11">
        <v>29.4</v>
      </c>
      <c r="AM11">
        <v>100.4</v>
      </c>
      <c r="AN11">
        <v>11.6</v>
      </c>
      <c r="AO11">
        <v>15</v>
      </c>
      <c r="AP11">
        <v>10.3</v>
      </c>
      <c r="AQ11">
        <v>5.5</v>
      </c>
      <c r="AR11">
        <v>1.28</v>
      </c>
      <c r="AS11">
        <v>32</v>
      </c>
      <c r="AT11">
        <v>69.7</v>
      </c>
      <c r="AU11">
        <v>75.7</v>
      </c>
      <c r="AV11">
        <v>23.7</v>
      </c>
      <c r="AW11">
        <v>7473</v>
      </c>
      <c r="AX11" t="s">
        <v>737</v>
      </c>
      <c r="AY11" t="s">
        <v>738</v>
      </c>
      <c r="AZ11">
        <v>284.5</v>
      </c>
      <c r="BA11">
        <v>45</v>
      </c>
      <c r="BB11">
        <v>5.5</v>
      </c>
      <c r="BC11">
        <v>6.3</v>
      </c>
      <c r="BD11">
        <v>5.4</v>
      </c>
      <c r="BE11">
        <v>6.3</v>
      </c>
    </row>
    <row r="12" spans="1:57" x14ac:dyDescent="0.25">
      <c r="A12" t="s">
        <v>711</v>
      </c>
      <c r="C12" t="s">
        <v>82</v>
      </c>
      <c r="D12">
        <v>1</v>
      </c>
      <c r="E12" t="s">
        <v>71</v>
      </c>
      <c r="F12" t="s">
        <v>60</v>
      </c>
      <c r="G12">
        <v>1206.8</v>
      </c>
      <c r="H12">
        <v>0</v>
      </c>
      <c r="I12">
        <v>0</v>
      </c>
      <c r="J12">
        <v>0</v>
      </c>
      <c r="K12" t="s">
        <v>712</v>
      </c>
      <c r="L12" t="s">
        <v>597</v>
      </c>
      <c r="M12" t="s">
        <v>597</v>
      </c>
      <c r="P12" t="s">
        <v>137</v>
      </c>
      <c r="Q12">
        <v>5.2</v>
      </c>
      <c r="R12">
        <v>7.2450000000000001</v>
      </c>
      <c r="S12">
        <v>9.2799999999999994</v>
      </c>
      <c r="T12">
        <v>3.94</v>
      </c>
      <c r="U12">
        <v>5.2</v>
      </c>
      <c r="V12">
        <v>62.2</v>
      </c>
      <c r="W12">
        <v>60.9</v>
      </c>
      <c r="X12">
        <v>1.5</v>
      </c>
      <c r="Y12">
        <v>37</v>
      </c>
      <c r="Z12">
        <v>0.6</v>
      </c>
      <c r="AB12">
        <v>4.8</v>
      </c>
      <c r="AC12">
        <v>132</v>
      </c>
      <c r="AD12">
        <v>1.24</v>
      </c>
      <c r="AE12">
        <v>90</v>
      </c>
      <c r="AF12" t="s">
        <v>713</v>
      </c>
      <c r="AG12">
        <v>2.5</v>
      </c>
      <c r="AI12">
        <v>7.3</v>
      </c>
      <c r="AJ12">
        <v>3.26</v>
      </c>
      <c r="AK12">
        <v>2.8</v>
      </c>
      <c r="AL12">
        <v>25.7</v>
      </c>
      <c r="AM12">
        <v>100.4</v>
      </c>
      <c r="AN12">
        <v>11.2</v>
      </c>
      <c r="AO12">
        <v>16</v>
      </c>
      <c r="AP12">
        <v>11.5</v>
      </c>
      <c r="AQ12">
        <v>2</v>
      </c>
      <c r="AR12">
        <v>1.1399999999999999</v>
      </c>
      <c r="AS12">
        <v>30.1</v>
      </c>
      <c r="AT12">
        <v>66.7</v>
      </c>
      <c r="AU12">
        <v>72.3</v>
      </c>
      <c r="AV12">
        <v>25.9</v>
      </c>
      <c r="AW12">
        <v>7421</v>
      </c>
      <c r="AX12" t="s">
        <v>714</v>
      </c>
      <c r="AY12" t="s">
        <v>715</v>
      </c>
      <c r="AZ12">
        <v>279.89999999999998</v>
      </c>
      <c r="BA12">
        <v>56.9</v>
      </c>
      <c r="BB12">
        <v>2</v>
      </c>
      <c r="BC12">
        <v>2.8</v>
      </c>
      <c r="BD12">
        <v>1.4</v>
      </c>
      <c r="BE12">
        <v>2.4</v>
      </c>
    </row>
    <row r="13" spans="1:57" x14ac:dyDescent="0.25">
      <c r="A13" t="s">
        <v>626</v>
      </c>
      <c r="B13">
        <v>113</v>
      </c>
      <c r="C13" t="s">
        <v>58</v>
      </c>
      <c r="D13">
        <v>1</v>
      </c>
      <c r="E13" t="s">
        <v>54</v>
      </c>
      <c r="F13" t="s">
        <v>49</v>
      </c>
      <c r="G13">
        <v>1129</v>
      </c>
      <c r="H13">
        <v>0</v>
      </c>
      <c r="I13">
        <v>0</v>
      </c>
      <c r="J13">
        <v>1</v>
      </c>
      <c r="K13" t="s">
        <v>627</v>
      </c>
      <c r="L13" t="s">
        <v>597</v>
      </c>
      <c r="M13" t="s">
        <v>597</v>
      </c>
      <c r="P13" t="s">
        <v>59</v>
      </c>
      <c r="Q13">
        <v>6.4</v>
      </c>
      <c r="R13">
        <v>7.37</v>
      </c>
      <c r="S13">
        <v>8.2100000000000009</v>
      </c>
      <c r="T13">
        <v>4.5999999999999996</v>
      </c>
      <c r="U13">
        <v>6.4</v>
      </c>
      <c r="V13">
        <v>77</v>
      </c>
      <c r="W13">
        <v>75.8</v>
      </c>
      <c r="X13">
        <v>1.3</v>
      </c>
      <c r="Y13">
        <v>22.6</v>
      </c>
      <c r="Z13">
        <v>0.3</v>
      </c>
      <c r="AB13">
        <v>4.0999999999999996</v>
      </c>
      <c r="AC13">
        <v>139</v>
      </c>
      <c r="AD13">
        <v>1.27</v>
      </c>
      <c r="AE13">
        <v>96</v>
      </c>
      <c r="AF13" t="s">
        <v>628</v>
      </c>
      <c r="AG13">
        <v>1.6</v>
      </c>
      <c r="AI13">
        <v>10.9</v>
      </c>
      <c r="AJ13">
        <v>2.91</v>
      </c>
      <c r="AK13">
        <v>10.3</v>
      </c>
      <c r="AL13">
        <v>32</v>
      </c>
      <c r="AM13">
        <v>100.4</v>
      </c>
      <c r="AN13">
        <v>7.4</v>
      </c>
      <c r="AO13">
        <v>11.5</v>
      </c>
      <c r="AP13">
        <v>14</v>
      </c>
      <c r="AQ13">
        <v>8.6999999999999993</v>
      </c>
      <c r="AR13">
        <v>1.25</v>
      </c>
      <c r="AS13">
        <v>35.6</v>
      </c>
      <c r="AT13">
        <v>75.3</v>
      </c>
      <c r="AU13">
        <v>84</v>
      </c>
      <c r="AV13">
        <v>31.4</v>
      </c>
      <c r="AW13">
        <v>7512</v>
      </c>
      <c r="AX13" t="s">
        <v>629</v>
      </c>
      <c r="AY13" t="s">
        <v>630</v>
      </c>
      <c r="AZ13">
        <v>292.5</v>
      </c>
      <c r="BA13">
        <v>42.6</v>
      </c>
      <c r="BB13">
        <v>8.6999999999999993</v>
      </c>
      <c r="BC13">
        <v>10.3</v>
      </c>
      <c r="BD13">
        <v>8.1999999999999993</v>
      </c>
      <c r="BE13">
        <v>10.1</v>
      </c>
    </row>
    <row r="14" spans="1:57" x14ac:dyDescent="0.25">
      <c r="A14" t="s">
        <v>779</v>
      </c>
      <c r="B14">
        <v>114</v>
      </c>
      <c r="C14" t="s">
        <v>60</v>
      </c>
      <c r="D14">
        <v>1</v>
      </c>
      <c r="E14" t="s">
        <v>142</v>
      </c>
      <c r="F14" t="s">
        <v>49</v>
      </c>
      <c r="G14">
        <v>1191</v>
      </c>
      <c r="H14">
        <v>1</v>
      </c>
      <c r="I14">
        <v>1</v>
      </c>
      <c r="J14">
        <v>0</v>
      </c>
      <c r="K14" t="s">
        <v>679</v>
      </c>
      <c r="L14" t="s">
        <v>597</v>
      </c>
      <c r="M14" t="s">
        <v>597</v>
      </c>
      <c r="P14" t="s">
        <v>61</v>
      </c>
      <c r="Q14">
        <v>6.1</v>
      </c>
      <c r="R14">
        <v>7.4210000000000003</v>
      </c>
      <c r="S14">
        <v>7.46</v>
      </c>
      <c r="T14">
        <v>7.22</v>
      </c>
      <c r="U14">
        <v>6.1</v>
      </c>
      <c r="V14">
        <v>94.3</v>
      </c>
      <c r="W14">
        <v>93</v>
      </c>
      <c r="X14">
        <v>1.3</v>
      </c>
      <c r="Y14">
        <v>5.6</v>
      </c>
      <c r="Z14">
        <v>0.1</v>
      </c>
      <c r="AB14">
        <v>3.5</v>
      </c>
      <c r="AC14">
        <v>145</v>
      </c>
      <c r="AD14">
        <v>1.18</v>
      </c>
      <c r="AE14">
        <v>97</v>
      </c>
      <c r="AF14" t="s">
        <v>780</v>
      </c>
      <c r="AG14">
        <v>1</v>
      </c>
      <c r="AI14">
        <v>12.8</v>
      </c>
      <c r="AJ14">
        <v>2.48</v>
      </c>
      <c r="AK14">
        <v>11.9</v>
      </c>
      <c r="AL14">
        <v>34</v>
      </c>
      <c r="AM14">
        <v>100.4</v>
      </c>
      <c r="AN14">
        <v>11.2</v>
      </c>
      <c r="AO14">
        <v>14.7</v>
      </c>
      <c r="AP14">
        <v>13.4</v>
      </c>
      <c r="AQ14">
        <v>10.3</v>
      </c>
      <c r="AR14">
        <v>1.2</v>
      </c>
      <c r="AS14">
        <v>36.299999999999997</v>
      </c>
      <c r="AT14">
        <v>76.3</v>
      </c>
      <c r="AU14">
        <v>85.2</v>
      </c>
      <c r="AV14">
        <v>30</v>
      </c>
      <c r="AW14">
        <v>7534</v>
      </c>
      <c r="AX14" t="s">
        <v>753</v>
      </c>
      <c r="AY14" t="s">
        <v>781</v>
      </c>
      <c r="AZ14">
        <v>292.39999999999998</v>
      </c>
      <c r="BA14">
        <v>38</v>
      </c>
      <c r="BB14">
        <v>10.3</v>
      </c>
      <c r="BC14">
        <v>11.9</v>
      </c>
      <c r="BD14">
        <v>10.199999999999999</v>
      </c>
      <c r="BE14">
        <v>11.8</v>
      </c>
    </row>
    <row r="15" spans="1:57" x14ac:dyDescent="0.25">
      <c r="A15" t="s">
        <v>678</v>
      </c>
      <c r="C15" t="s">
        <v>62</v>
      </c>
      <c r="D15">
        <v>1</v>
      </c>
      <c r="E15" t="s">
        <v>40</v>
      </c>
      <c r="F15" t="s">
        <v>60</v>
      </c>
      <c r="G15">
        <v>1468</v>
      </c>
      <c r="H15">
        <v>0</v>
      </c>
      <c r="I15">
        <v>1</v>
      </c>
      <c r="J15">
        <v>1</v>
      </c>
      <c r="K15" t="s">
        <v>679</v>
      </c>
      <c r="L15" t="s">
        <v>597</v>
      </c>
      <c r="M15" t="s">
        <v>597</v>
      </c>
      <c r="P15" t="s">
        <v>63</v>
      </c>
      <c r="Q15">
        <v>4.7</v>
      </c>
      <c r="R15">
        <v>7.39</v>
      </c>
      <c r="S15">
        <v>7.62</v>
      </c>
      <c r="T15">
        <v>36.700000000000003</v>
      </c>
      <c r="U15">
        <v>4.7</v>
      </c>
      <c r="V15">
        <v>105.9</v>
      </c>
      <c r="W15">
        <v>101.7</v>
      </c>
      <c r="X15">
        <v>3.2</v>
      </c>
      <c r="Y15">
        <v>-5.7</v>
      </c>
      <c r="Z15">
        <v>0.8</v>
      </c>
      <c r="AB15">
        <v>3.2</v>
      </c>
      <c r="AC15">
        <v>141</v>
      </c>
      <c r="AD15">
        <v>1.31</v>
      </c>
      <c r="AE15">
        <v>98</v>
      </c>
      <c r="AF15" t="s">
        <v>628</v>
      </c>
      <c r="AG15">
        <v>1.2</v>
      </c>
      <c r="AK15">
        <v>9.6</v>
      </c>
      <c r="AM15">
        <v>100.4</v>
      </c>
      <c r="AN15">
        <v>8.5</v>
      </c>
      <c r="AO15">
        <v>11.7</v>
      </c>
      <c r="AP15">
        <v>10.1</v>
      </c>
      <c r="AQ15">
        <v>8.6</v>
      </c>
      <c r="AR15">
        <v>1.3</v>
      </c>
      <c r="AS15">
        <v>34.6</v>
      </c>
      <c r="AU15">
        <v>81.400000000000006</v>
      </c>
      <c r="AV15">
        <v>23.1</v>
      </c>
      <c r="AW15">
        <v>7512</v>
      </c>
      <c r="AX15" t="s">
        <v>680</v>
      </c>
      <c r="AY15" t="s">
        <v>681</v>
      </c>
      <c r="AZ15">
        <v>296.5</v>
      </c>
      <c r="BA15">
        <v>40.700000000000003</v>
      </c>
      <c r="BB15">
        <v>8.6</v>
      </c>
      <c r="BC15">
        <v>9.6</v>
      </c>
    </row>
    <row r="16" spans="1:57" x14ac:dyDescent="0.25">
      <c r="A16" t="s">
        <v>799</v>
      </c>
      <c r="C16" t="s">
        <v>64</v>
      </c>
      <c r="D16">
        <v>1</v>
      </c>
      <c r="E16" t="s">
        <v>146</v>
      </c>
      <c r="F16" t="s">
        <v>60</v>
      </c>
      <c r="G16">
        <v>1314.8</v>
      </c>
      <c r="H16">
        <v>0</v>
      </c>
      <c r="I16">
        <v>1</v>
      </c>
      <c r="J16">
        <v>0</v>
      </c>
      <c r="K16" t="s">
        <v>651</v>
      </c>
      <c r="L16" t="s">
        <v>597</v>
      </c>
      <c r="M16" t="s">
        <v>597</v>
      </c>
      <c r="P16" t="s">
        <v>65</v>
      </c>
      <c r="Q16">
        <v>5.8</v>
      </c>
      <c r="R16">
        <v>7.4809999999999999</v>
      </c>
      <c r="S16">
        <v>6.75</v>
      </c>
      <c r="T16">
        <v>40</v>
      </c>
      <c r="U16">
        <v>5.8</v>
      </c>
      <c r="V16">
        <v>101.1</v>
      </c>
      <c r="W16">
        <v>100.4</v>
      </c>
      <c r="X16">
        <v>0.7</v>
      </c>
      <c r="Y16">
        <v>-1.1000000000000001</v>
      </c>
      <c r="Z16">
        <v>0</v>
      </c>
      <c r="AB16">
        <v>3</v>
      </c>
      <c r="AC16">
        <v>144</v>
      </c>
      <c r="AD16">
        <v>1.23</v>
      </c>
      <c r="AE16">
        <v>97</v>
      </c>
      <c r="AF16" t="s">
        <v>800</v>
      </c>
      <c r="AG16">
        <v>1.9</v>
      </c>
      <c r="AI16">
        <v>13.8</v>
      </c>
      <c r="AJ16">
        <v>2.62</v>
      </c>
      <c r="AK16">
        <v>14.2</v>
      </c>
      <c r="AL16">
        <v>36.6</v>
      </c>
      <c r="AM16">
        <v>100.4</v>
      </c>
      <c r="AN16">
        <v>9</v>
      </c>
      <c r="AO16">
        <v>12</v>
      </c>
      <c r="AP16">
        <v>12.9</v>
      </c>
      <c r="AQ16">
        <v>12.7</v>
      </c>
      <c r="AR16">
        <v>1.28</v>
      </c>
      <c r="AS16">
        <v>37.700000000000003</v>
      </c>
      <c r="AT16">
        <v>78.900000000000006</v>
      </c>
      <c r="AU16">
        <v>88.1</v>
      </c>
      <c r="AV16">
        <v>28.5</v>
      </c>
      <c r="AW16">
        <v>7562</v>
      </c>
      <c r="AX16" t="s">
        <v>701</v>
      </c>
      <c r="AY16" t="s">
        <v>798</v>
      </c>
      <c r="AZ16">
        <v>293</v>
      </c>
      <c r="BA16">
        <v>33.1</v>
      </c>
      <c r="BB16">
        <v>12.7</v>
      </c>
      <c r="BC16">
        <v>14.2</v>
      </c>
      <c r="BD16">
        <v>12.7</v>
      </c>
      <c r="BE16">
        <v>14.2</v>
      </c>
    </row>
    <row r="17" spans="1:57" x14ac:dyDescent="0.25">
      <c r="A17" t="s">
        <v>739</v>
      </c>
      <c r="C17" t="s">
        <v>66</v>
      </c>
      <c r="D17">
        <v>1</v>
      </c>
      <c r="E17" t="s">
        <v>142</v>
      </c>
      <c r="F17" t="s">
        <v>60</v>
      </c>
      <c r="G17">
        <v>981</v>
      </c>
      <c r="H17">
        <v>1</v>
      </c>
      <c r="I17">
        <v>1</v>
      </c>
      <c r="J17">
        <v>0</v>
      </c>
      <c r="K17" t="s">
        <v>740</v>
      </c>
      <c r="L17" t="s">
        <v>597</v>
      </c>
      <c r="M17" t="s">
        <v>597</v>
      </c>
      <c r="P17" t="s">
        <v>67</v>
      </c>
      <c r="Q17">
        <v>5.7</v>
      </c>
      <c r="R17">
        <v>7.3609999999999998</v>
      </c>
      <c r="S17">
        <v>7.53</v>
      </c>
      <c r="T17">
        <v>4.41</v>
      </c>
      <c r="U17">
        <v>5.7</v>
      </c>
      <c r="V17">
        <v>72.7</v>
      </c>
      <c r="W17">
        <v>71.3</v>
      </c>
      <c r="X17">
        <v>1.6</v>
      </c>
      <c r="Y17">
        <v>26.8</v>
      </c>
      <c r="Z17">
        <v>0.3</v>
      </c>
      <c r="AB17">
        <v>4.2</v>
      </c>
      <c r="AC17">
        <v>138</v>
      </c>
      <c r="AD17">
        <v>1.1399999999999999</v>
      </c>
      <c r="AE17">
        <v>95</v>
      </c>
      <c r="AF17" t="s">
        <v>741</v>
      </c>
      <c r="AG17">
        <v>3.4</v>
      </c>
      <c r="AI17">
        <v>9.1</v>
      </c>
      <c r="AJ17">
        <v>3.04</v>
      </c>
      <c r="AK17">
        <v>6.5</v>
      </c>
      <c r="AL17">
        <v>29</v>
      </c>
      <c r="AM17">
        <v>100.4</v>
      </c>
      <c r="AN17">
        <v>11</v>
      </c>
      <c r="AO17">
        <v>15.2</v>
      </c>
      <c r="AP17">
        <v>12.4</v>
      </c>
      <c r="AQ17">
        <v>5.5</v>
      </c>
      <c r="AR17">
        <v>1.1200000000000001</v>
      </c>
      <c r="AS17">
        <v>31.9</v>
      </c>
      <c r="AT17">
        <v>68.599999999999994</v>
      </c>
      <c r="AU17">
        <v>75.5</v>
      </c>
      <c r="AV17">
        <v>27.9</v>
      </c>
      <c r="AW17">
        <v>7473</v>
      </c>
      <c r="AX17" t="s">
        <v>742</v>
      </c>
      <c r="AY17" t="s">
        <v>743</v>
      </c>
      <c r="AZ17">
        <v>287.10000000000002</v>
      </c>
      <c r="BA17">
        <v>43.6</v>
      </c>
      <c r="BB17">
        <v>5.5</v>
      </c>
      <c r="BC17">
        <v>6.5</v>
      </c>
      <c r="BD17">
        <v>5.0999999999999996</v>
      </c>
      <c r="BE17">
        <v>6.3</v>
      </c>
    </row>
    <row r="18" spans="1:57" x14ac:dyDescent="0.25">
      <c r="A18" t="s">
        <v>775</v>
      </c>
      <c r="B18">
        <v>104</v>
      </c>
      <c r="C18" t="s">
        <v>68</v>
      </c>
      <c r="D18">
        <v>1</v>
      </c>
      <c r="E18" t="s">
        <v>142</v>
      </c>
      <c r="F18" t="s">
        <v>49</v>
      </c>
      <c r="G18">
        <v>988.2</v>
      </c>
      <c r="H18">
        <v>1</v>
      </c>
      <c r="I18">
        <v>1</v>
      </c>
      <c r="J18">
        <v>0</v>
      </c>
      <c r="K18" t="s">
        <v>740</v>
      </c>
      <c r="L18" t="s">
        <v>597</v>
      </c>
      <c r="M18" t="s">
        <v>597</v>
      </c>
      <c r="P18" t="s">
        <v>69</v>
      </c>
      <c r="Q18">
        <v>4</v>
      </c>
      <c r="R18">
        <v>7.2889999999999997</v>
      </c>
      <c r="S18">
        <v>6.87</v>
      </c>
      <c r="T18">
        <v>4.78</v>
      </c>
      <c r="U18">
        <v>4</v>
      </c>
      <c r="V18">
        <v>78.3</v>
      </c>
      <c r="W18">
        <v>75.599999999999994</v>
      </c>
      <c r="X18">
        <v>2.8</v>
      </c>
      <c r="Y18">
        <v>20.9</v>
      </c>
      <c r="Z18">
        <v>0.7</v>
      </c>
      <c r="AB18">
        <v>3.7</v>
      </c>
      <c r="AC18">
        <v>152</v>
      </c>
      <c r="AD18">
        <v>1.31</v>
      </c>
      <c r="AE18">
        <v>106</v>
      </c>
      <c r="AF18" t="s">
        <v>776</v>
      </c>
      <c r="AG18">
        <v>8.3000000000000007</v>
      </c>
      <c r="AI18">
        <v>6.9</v>
      </c>
      <c r="AJ18">
        <v>2.93</v>
      </c>
      <c r="AK18">
        <v>-1.9</v>
      </c>
      <c r="AL18">
        <v>22.7</v>
      </c>
      <c r="AM18">
        <v>100.4</v>
      </c>
      <c r="AN18">
        <v>20.7</v>
      </c>
      <c r="AO18">
        <v>24.4</v>
      </c>
      <c r="AP18">
        <v>8.6999999999999993</v>
      </c>
      <c r="AQ18">
        <v>-1.8</v>
      </c>
      <c r="AR18">
        <v>1.23</v>
      </c>
      <c r="AS18">
        <v>24.7</v>
      </c>
      <c r="AT18">
        <v>55.1</v>
      </c>
      <c r="AU18">
        <v>58.8</v>
      </c>
      <c r="AV18">
        <v>19.899999999999999</v>
      </c>
      <c r="AW18">
        <v>7370</v>
      </c>
      <c r="AX18" t="s">
        <v>777</v>
      </c>
      <c r="AY18" t="s">
        <v>778</v>
      </c>
      <c r="AZ18">
        <v>314.10000000000002</v>
      </c>
      <c r="BA18">
        <v>51.4</v>
      </c>
      <c r="BB18">
        <v>-1.8</v>
      </c>
      <c r="BC18">
        <v>-1.9</v>
      </c>
      <c r="BD18">
        <v>-2.1</v>
      </c>
      <c r="BE18">
        <v>-2.1</v>
      </c>
    </row>
    <row r="19" spans="1:57" x14ac:dyDescent="0.25">
      <c r="A19" t="s">
        <v>716</v>
      </c>
      <c r="B19">
        <v>112</v>
      </c>
      <c r="C19" t="s">
        <v>70</v>
      </c>
      <c r="D19">
        <v>1</v>
      </c>
      <c r="E19" t="s">
        <v>71</v>
      </c>
      <c r="F19" t="s">
        <v>49</v>
      </c>
      <c r="G19">
        <v>1004</v>
      </c>
      <c r="H19">
        <v>0</v>
      </c>
      <c r="I19">
        <v>0</v>
      </c>
      <c r="J19">
        <v>0</v>
      </c>
      <c r="K19" t="s">
        <v>717</v>
      </c>
      <c r="L19" t="s">
        <v>597</v>
      </c>
      <c r="M19" t="s">
        <v>597</v>
      </c>
      <c r="P19" t="s">
        <v>72</v>
      </c>
      <c r="Q19">
        <v>6.6</v>
      </c>
      <c r="R19">
        <v>7.38</v>
      </c>
      <c r="S19">
        <v>7.95</v>
      </c>
      <c r="T19">
        <v>13.3</v>
      </c>
      <c r="U19">
        <v>6.6</v>
      </c>
      <c r="V19">
        <v>99.8</v>
      </c>
      <c r="W19">
        <v>98.7</v>
      </c>
      <c r="X19">
        <v>0.9</v>
      </c>
      <c r="Y19">
        <v>0.2</v>
      </c>
      <c r="Z19">
        <v>0.2</v>
      </c>
      <c r="AB19">
        <v>4.7</v>
      </c>
      <c r="AC19">
        <v>135</v>
      </c>
      <c r="AD19">
        <v>1.32</v>
      </c>
      <c r="AE19">
        <v>93</v>
      </c>
      <c r="AF19" t="s">
        <v>629</v>
      </c>
      <c r="AG19">
        <v>1</v>
      </c>
      <c r="AI19">
        <v>14.8</v>
      </c>
      <c r="AJ19">
        <v>2.93</v>
      </c>
      <c r="AK19">
        <v>10.1</v>
      </c>
      <c r="AL19">
        <v>32.299999999999997</v>
      </c>
      <c r="AM19">
        <v>100.4</v>
      </c>
      <c r="AN19">
        <v>6.2</v>
      </c>
      <c r="AO19">
        <v>10.9</v>
      </c>
      <c r="AP19">
        <v>14.5</v>
      </c>
      <c r="AQ19">
        <v>8.5</v>
      </c>
      <c r="AR19">
        <v>1.31</v>
      </c>
      <c r="AS19">
        <v>35.200000000000003</v>
      </c>
      <c r="AT19">
        <v>73.7</v>
      </c>
      <c r="AU19">
        <v>83</v>
      </c>
      <c r="AV19">
        <v>32.4</v>
      </c>
      <c r="AW19">
        <v>7510</v>
      </c>
      <c r="AX19" t="s">
        <v>718</v>
      </c>
      <c r="AY19" t="s">
        <v>719</v>
      </c>
      <c r="AZ19">
        <v>279.7</v>
      </c>
      <c r="BA19">
        <v>41.7</v>
      </c>
      <c r="BB19">
        <v>8.5</v>
      </c>
      <c r="BC19">
        <v>10.1</v>
      </c>
      <c r="BD19">
        <v>8.5</v>
      </c>
      <c r="BE19">
        <v>10.1</v>
      </c>
    </row>
    <row r="20" spans="1:57" x14ac:dyDescent="0.25">
      <c r="A20" t="s">
        <v>744</v>
      </c>
      <c r="B20">
        <v>117</v>
      </c>
      <c r="C20" t="s">
        <v>36</v>
      </c>
      <c r="D20">
        <v>2</v>
      </c>
      <c r="E20" t="s">
        <v>142</v>
      </c>
      <c r="F20" t="s">
        <v>383</v>
      </c>
      <c r="G20">
        <v>1210</v>
      </c>
      <c r="H20">
        <v>1</v>
      </c>
      <c r="I20">
        <v>1</v>
      </c>
      <c r="J20">
        <v>0</v>
      </c>
      <c r="K20" t="s">
        <v>337</v>
      </c>
      <c r="L20" t="s">
        <v>597</v>
      </c>
      <c r="M20" t="s">
        <v>597</v>
      </c>
      <c r="P20" t="s">
        <v>143</v>
      </c>
      <c r="Q20">
        <v>6.2</v>
      </c>
      <c r="R20">
        <v>7.407</v>
      </c>
      <c r="S20">
        <v>7.05</v>
      </c>
      <c r="T20">
        <v>3.99</v>
      </c>
      <c r="U20">
        <v>6.2</v>
      </c>
      <c r="V20">
        <v>72.099999999999994</v>
      </c>
      <c r="W20">
        <v>70.900000000000006</v>
      </c>
      <c r="X20">
        <v>1.1000000000000001</v>
      </c>
      <c r="Y20">
        <v>27.5</v>
      </c>
      <c r="Z20">
        <v>0.5</v>
      </c>
      <c r="AB20">
        <v>4.9000000000000004</v>
      </c>
      <c r="AC20">
        <v>140</v>
      </c>
      <c r="AD20">
        <v>1.3</v>
      </c>
      <c r="AE20">
        <v>99</v>
      </c>
      <c r="AF20" t="s">
        <v>745</v>
      </c>
      <c r="AG20">
        <v>1.7</v>
      </c>
      <c r="AI20">
        <v>10</v>
      </c>
      <c r="AJ20">
        <v>2.77</v>
      </c>
      <c r="AK20">
        <v>8.6</v>
      </c>
      <c r="AL20">
        <v>30.7</v>
      </c>
      <c r="AM20">
        <v>100.1</v>
      </c>
      <c r="AN20">
        <v>7.5</v>
      </c>
      <c r="AO20">
        <v>12.5</v>
      </c>
      <c r="AP20">
        <v>13.8</v>
      </c>
      <c r="AQ20">
        <v>7.4</v>
      </c>
      <c r="AR20">
        <v>1.3</v>
      </c>
      <c r="AS20">
        <v>33.299999999999997</v>
      </c>
      <c r="AT20">
        <v>70.099999999999994</v>
      </c>
      <c r="AU20">
        <v>78.2</v>
      </c>
      <c r="AV20">
        <v>30.9</v>
      </c>
      <c r="AW20">
        <v>7498</v>
      </c>
      <c r="AX20" t="s">
        <v>746</v>
      </c>
      <c r="AY20" t="s">
        <v>747</v>
      </c>
      <c r="AZ20">
        <v>289.5</v>
      </c>
      <c r="BA20">
        <v>39.200000000000003</v>
      </c>
      <c r="BB20">
        <v>7.4</v>
      </c>
      <c r="BC20">
        <v>8.6</v>
      </c>
      <c r="BD20">
        <v>6.9</v>
      </c>
      <c r="BE20">
        <v>8.3000000000000007</v>
      </c>
    </row>
    <row r="21" spans="1:57" x14ac:dyDescent="0.25">
      <c r="A21" t="s">
        <v>782</v>
      </c>
      <c r="B21">
        <v>123</v>
      </c>
      <c r="C21" t="s">
        <v>39</v>
      </c>
      <c r="D21">
        <v>2</v>
      </c>
      <c r="E21" t="s">
        <v>142</v>
      </c>
      <c r="F21" t="s">
        <v>382</v>
      </c>
      <c r="G21">
        <v>1015</v>
      </c>
      <c r="H21">
        <v>1</v>
      </c>
      <c r="I21">
        <v>1</v>
      </c>
      <c r="J21">
        <v>0</v>
      </c>
      <c r="K21" t="s">
        <v>333</v>
      </c>
      <c r="L21" t="s">
        <v>597</v>
      </c>
      <c r="M21" t="s">
        <v>597</v>
      </c>
      <c r="P21" t="s">
        <v>149</v>
      </c>
      <c r="Q21">
        <v>6.7</v>
      </c>
      <c r="R21">
        <v>7.4560000000000004</v>
      </c>
      <c r="S21">
        <v>6.23</v>
      </c>
      <c r="T21">
        <v>5.86</v>
      </c>
      <c r="U21">
        <v>6.7</v>
      </c>
      <c r="V21">
        <v>91.2</v>
      </c>
      <c r="W21">
        <v>90.1</v>
      </c>
      <c r="X21">
        <v>1.2</v>
      </c>
      <c r="Y21">
        <v>8.6999999999999993</v>
      </c>
      <c r="Z21">
        <v>0</v>
      </c>
      <c r="AB21">
        <v>3.7</v>
      </c>
      <c r="AC21">
        <v>148</v>
      </c>
      <c r="AD21">
        <v>1.23</v>
      </c>
      <c r="AE21">
        <v>102</v>
      </c>
      <c r="AF21" t="s">
        <v>783</v>
      </c>
      <c r="AG21">
        <v>2.5</v>
      </c>
      <c r="AI21">
        <v>13.7</v>
      </c>
      <c r="AJ21">
        <v>2.39</v>
      </c>
      <c r="AK21">
        <v>9.1</v>
      </c>
      <c r="AL21">
        <v>31.7</v>
      </c>
      <c r="AM21">
        <v>100.1</v>
      </c>
      <c r="AN21">
        <v>12.5</v>
      </c>
      <c r="AO21">
        <v>16.2</v>
      </c>
      <c r="AP21">
        <v>14.9</v>
      </c>
      <c r="AQ21">
        <v>8</v>
      </c>
      <c r="AR21">
        <v>1.27</v>
      </c>
      <c r="AS21">
        <v>32.9</v>
      </c>
      <c r="AT21">
        <v>68</v>
      </c>
      <c r="AU21">
        <v>77</v>
      </c>
      <c r="AV21">
        <v>33.200000000000003</v>
      </c>
      <c r="AW21">
        <v>7507</v>
      </c>
      <c r="AX21" t="s">
        <v>697</v>
      </c>
      <c r="AY21" t="s">
        <v>784</v>
      </c>
      <c r="AZ21">
        <v>296.60000000000002</v>
      </c>
      <c r="BA21">
        <v>35</v>
      </c>
      <c r="BB21">
        <v>8</v>
      </c>
      <c r="BC21">
        <v>9.1</v>
      </c>
      <c r="BD21">
        <v>7.8</v>
      </c>
      <c r="BE21">
        <v>9</v>
      </c>
    </row>
    <row r="22" spans="1:57" x14ac:dyDescent="0.25">
      <c r="A22" t="s">
        <v>810</v>
      </c>
      <c r="B22">
        <v>136</v>
      </c>
      <c r="C22" t="s">
        <v>45</v>
      </c>
      <c r="D22">
        <v>2</v>
      </c>
      <c r="E22" t="s">
        <v>146</v>
      </c>
      <c r="F22" t="s">
        <v>382</v>
      </c>
      <c r="G22">
        <v>1041</v>
      </c>
      <c r="H22">
        <v>0</v>
      </c>
      <c r="I22">
        <v>1</v>
      </c>
      <c r="J22">
        <v>0</v>
      </c>
      <c r="K22" t="s">
        <v>347</v>
      </c>
      <c r="L22" t="s">
        <v>597</v>
      </c>
      <c r="M22" t="s">
        <v>597</v>
      </c>
      <c r="P22" t="s">
        <v>151</v>
      </c>
      <c r="Q22">
        <v>4.5999999999999996</v>
      </c>
      <c r="R22">
        <v>7.2489999999999997</v>
      </c>
      <c r="S22">
        <v>7.88</v>
      </c>
      <c r="T22">
        <v>5.8</v>
      </c>
      <c r="U22">
        <v>4.5999999999999996</v>
      </c>
      <c r="V22">
        <v>86.2</v>
      </c>
      <c r="W22">
        <v>82.8</v>
      </c>
      <c r="X22">
        <v>2.9</v>
      </c>
      <c r="Y22">
        <v>13.3</v>
      </c>
      <c r="Z22">
        <v>1</v>
      </c>
      <c r="AB22">
        <v>6.1</v>
      </c>
      <c r="AC22">
        <v>130</v>
      </c>
      <c r="AD22">
        <v>1.28</v>
      </c>
      <c r="AE22">
        <v>94</v>
      </c>
      <c r="AF22" t="s">
        <v>632</v>
      </c>
      <c r="AG22">
        <v>2.6</v>
      </c>
      <c r="AI22">
        <v>8.6999999999999993</v>
      </c>
      <c r="AJ22">
        <v>2.91</v>
      </c>
      <c r="AK22">
        <v>-1.4</v>
      </c>
      <c r="AL22">
        <v>23</v>
      </c>
      <c r="AM22">
        <v>100.1</v>
      </c>
      <c r="AN22">
        <v>10.4</v>
      </c>
      <c r="AO22">
        <v>16.5</v>
      </c>
      <c r="AP22">
        <v>9.9</v>
      </c>
      <c r="AQ22">
        <v>-1.5</v>
      </c>
      <c r="AR22">
        <v>1.18</v>
      </c>
      <c r="AS22">
        <v>25.8</v>
      </c>
      <c r="AT22">
        <v>57.6</v>
      </c>
      <c r="AU22">
        <v>62</v>
      </c>
      <c r="AV22">
        <v>22.7</v>
      </c>
      <c r="AW22">
        <v>7372</v>
      </c>
      <c r="AX22" t="s">
        <v>811</v>
      </c>
      <c r="AY22" t="s">
        <v>812</v>
      </c>
      <c r="AZ22">
        <v>287.7</v>
      </c>
      <c r="BA22">
        <v>56.3</v>
      </c>
      <c r="BB22">
        <v>-1.5</v>
      </c>
      <c r="BC22">
        <v>-1.4</v>
      </c>
      <c r="BD22">
        <v>-1.7</v>
      </c>
      <c r="BE22">
        <v>-1.5</v>
      </c>
    </row>
    <row r="23" spans="1:57" x14ac:dyDescent="0.25">
      <c r="A23" t="s">
        <v>832</v>
      </c>
      <c r="B23">
        <v>133</v>
      </c>
      <c r="C23" t="s">
        <v>47</v>
      </c>
      <c r="D23">
        <v>2</v>
      </c>
      <c r="E23" t="s">
        <v>146</v>
      </c>
      <c r="F23" t="s">
        <v>382</v>
      </c>
      <c r="G23">
        <v>1260.5999999999999</v>
      </c>
      <c r="H23">
        <v>0</v>
      </c>
      <c r="I23">
        <v>1</v>
      </c>
      <c r="J23">
        <v>0</v>
      </c>
      <c r="K23" t="s">
        <v>357</v>
      </c>
      <c r="L23" t="s">
        <v>597</v>
      </c>
      <c r="M23" t="s">
        <v>597</v>
      </c>
      <c r="P23" t="s">
        <v>153</v>
      </c>
      <c r="Q23">
        <v>7.4</v>
      </c>
      <c r="R23">
        <v>7.48</v>
      </c>
      <c r="S23">
        <v>6.37</v>
      </c>
      <c r="T23">
        <v>4.32</v>
      </c>
      <c r="U23">
        <v>7.4</v>
      </c>
      <c r="V23">
        <v>74.900000000000006</v>
      </c>
      <c r="W23">
        <v>74.099999999999994</v>
      </c>
      <c r="X23">
        <v>0.9</v>
      </c>
      <c r="Y23">
        <v>24.8</v>
      </c>
      <c r="Z23">
        <v>0.2</v>
      </c>
      <c r="AB23">
        <v>4.5</v>
      </c>
      <c r="AC23">
        <v>144</v>
      </c>
      <c r="AD23">
        <v>1.07</v>
      </c>
      <c r="AE23">
        <v>100</v>
      </c>
      <c r="AF23" t="s">
        <v>756</v>
      </c>
      <c r="AG23">
        <v>1.7</v>
      </c>
      <c r="AI23">
        <v>12.4</v>
      </c>
      <c r="AJ23">
        <v>2.85</v>
      </c>
      <c r="AK23">
        <v>12</v>
      </c>
      <c r="AL23">
        <v>33.799999999999997</v>
      </c>
      <c r="AM23">
        <v>100.1</v>
      </c>
      <c r="AN23">
        <v>8.5</v>
      </c>
      <c r="AO23">
        <v>13</v>
      </c>
      <c r="AP23">
        <v>16.399999999999999</v>
      </c>
      <c r="AQ23">
        <v>10.6</v>
      </c>
      <c r="AR23">
        <v>1.1200000000000001</v>
      </c>
      <c r="AS23">
        <v>35.5</v>
      </c>
      <c r="AT23">
        <v>72.5</v>
      </c>
      <c r="AU23">
        <v>82.9</v>
      </c>
      <c r="AV23">
        <v>36.5</v>
      </c>
      <c r="AW23">
        <v>7538</v>
      </c>
      <c r="AX23" t="s">
        <v>833</v>
      </c>
      <c r="AY23" t="s">
        <v>834</v>
      </c>
      <c r="AZ23">
        <v>292.10000000000002</v>
      </c>
      <c r="BA23">
        <v>33.1</v>
      </c>
      <c r="BB23">
        <v>10.6</v>
      </c>
      <c r="BC23">
        <v>12</v>
      </c>
      <c r="BD23">
        <v>10</v>
      </c>
      <c r="BE23">
        <v>11.8</v>
      </c>
    </row>
    <row r="24" spans="1:57" x14ac:dyDescent="0.25">
      <c r="A24" t="s">
        <v>655</v>
      </c>
      <c r="B24">
        <v>119</v>
      </c>
      <c r="C24" t="s">
        <v>49</v>
      </c>
      <c r="D24">
        <v>2</v>
      </c>
      <c r="E24" t="s">
        <v>40</v>
      </c>
      <c r="F24" t="s">
        <v>383</v>
      </c>
      <c r="G24">
        <v>1189</v>
      </c>
      <c r="H24">
        <v>0</v>
      </c>
      <c r="I24">
        <v>1</v>
      </c>
      <c r="J24">
        <v>1</v>
      </c>
      <c r="K24" t="s">
        <v>334</v>
      </c>
      <c r="L24" t="s">
        <v>597</v>
      </c>
      <c r="M24" t="s">
        <v>597</v>
      </c>
      <c r="P24" t="s">
        <v>155</v>
      </c>
      <c r="Q24">
        <v>7.7</v>
      </c>
      <c r="R24">
        <v>7.415</v>
      </c>
      <c r="S24">
        <v>6.89</v>
      </c>
      <c r="T24">
        <v>3.08</v>
      </c>
      <c r="U24">
        <v>7.7</v>
      </c>
      <c r="V24">
        <v>53.4</v>
      </c>
      <c r="W24">
        <v>52.8</v>
      </c>
      <c r="X24">
        <v>0.8</v>
      </c>
      <c r="Y24">
        <v>46.1</v>
      </c>
      <c r="Z24">
        <v>0.3</v>
      </c>
      <c r="AB24">
        <v>4.3</v>
      </c>
      <c r="AC24">
        <v>137</v>
      </c>
      <c r="AD24">
        <v>1.24</v>
      </c>
      <c r="AE24">
        <v>95</v>
      </c>
      <c r="AF24" t="s">
        <v>656</v>
      </c>
      <c r="AG24">
        <v>2.5</v>
      </c>
      <c r="AI24">
        <v>9.1999999999999993</v>
      </c>
      <c r="AJ24">
        <v>2.92</v>
      </c>
      <c r="AK24">
        <v>8.5</v>
      </c>
      <c r="AL24">
        <v>29.9</v>
      </c>
      <c r="AM24">
        <v>100.1</v>
      </c>
      <c r="AN24">
        <v>8.5</v>
      </c>
      <c r="AO24">
        <v>12.7</v>
      </c>
      <c r="AP24">
        <v>17.2</v>
      </c>
      <c r="AQ24">
        <v>7.2</v>
      </c>
      <c r="AR24">
        <v>1.25</v>
      </c>
      <c r="AS24">
        <v>33.1</v>
      </c>
      <c r="AT24">
        <v>68.099999999999994</v>
      </c>
      <c r="AU24">
        <v>77.7</v>
      </c>
      <c r="AV24">
        <v>38.299999999999997</v>
      </c>
      <c r="AW24">
        <v>7496</v>
      </c>
      <c r="AX24" t="s">
        <v>657</v>
      </c>
      <c r="AY24" t="s">
        <v>658</v>
      </c>
      <c r="AZ24">
        <v>282.3</v>
      </c>
      <c r="BA24">
        <v>38.5</v>
      </c>
      <c r="BB24">
        <v>7.2</v>
      </c>
      <c r="BC24">
        <v>8.5</v>
      </c>
      <c r="BD24">
        <v>6.1</v>
      </c>
      <c r="BE24">
        <v>8.1</v>
      </c>
    </row>
    <row r="25" spans="1:57" x14ac:dyDescent="0.25">
      <c r="A25" t="s">
        <v>601</v>
      </c>
      <c r="B25">
        <v>135</v>
      </c>
      <c r="C25" t="s">
        <v>51</v>
      </c>
      <c r="D25">
        <v>2</v>
      </c>
      <c r="E25" t="s">
        <v>54</v>
      </c>
      <c r="F25" t="s">
        <v>382</v>
      </c>
      <c r="G25">
        <v>1387</v>
      </c>
      <c r="H25">
        <v>0</v>
      </c>
      <c r="I25">
        <v>0</v>
      </c>
      <c r="J25">
        <v>1</v>
      </c>
      <c r="K25" t="s">
        <v>351</v>
      </c>
      <c r="L25" t="s">
        <v>597</v>
      </c>
      <c r="M25" t="s">
        <v>597</v>
      </c>
      <c r="P25" t="s">
        <v>157</v>
      </c>
      <c r="Q25">
        <v>6.8</v>
      </c>
      <c r="R25">
        <v>7.39</v>
      </c>
      <c r="S25">
        <v>7.26</v>
      </c>
      <c r="T25">
        <v>4.2699999999999996</v>
      </c>
      <c r="U25">
        <v>6.8</v>
      </c>
      <c r="V25">
        <v>73.2</v>
      </c>
      <c r="W25">
        <v>72.099999999999994</v>
      </c>
      <c r="X25">
        <v>1.2</v>
      </c>
      <c r="Y25">
        <v>26.4</v>
      </c>
      <c r="Z25">
        <v>0.3</v>
      </c>
      <c r="AB25">
        <v>3.6</v>
      </c>
      <c r="AC25">
        <v>139</v>
      </c>
      <c r="AD25">
        <v>1.43</v>
      </c>
      <c r="AE25">
        <v>99</v>
      </c>
      <c r="AF25" t="s">
        <v>602</v>
      </c>
      <c r="AG25">
        <v>2.6</v>
      </c>
      <c r="AI25">
        <v>11</v>
      </c>
      <c r="AJ25">
        <v>2.91</v>
      </c>
      <c r="AK25">
        <v>8</v>
      </c>
      <c r="AL25">
        <v>30.1</v>
      </c>
      <c r="AM25">
        <v>100.1</v>
      </c>
      <c r="AN25">
        <v>7.5</v>
      </c>
      <c r="AO25">
        <v>11</v>
      </c>
      <c r="AP25">
        <v>14.9</v>
      </c>
      <c r="AQ25">
        <v>6.7</v>
      </c>
      <c r="AR25">
        <v>1.43</v>
      </c>
      <c r="AS25">
        <v>33</v>
      </c>
      <c r="AT25">
        <v>69</v>
      </c>
      <c r="AU25">
        <v>77.599999999999994</v>
      </c>
      <c r="AV25">
        <v>33.4</v>
      </c>
      <c r="AW25">
        <v>7489</v>
      </c>
      <c r="AX25" t="s">
        <v>603</v>
      </c>
      <c r="AY25" t="s">
        <v>604</v>
      </c>
      <c r="AZ25">
        <v>290.10000000000002</v>
      </c>
      <c r="BA25">
        <v>40.700000000000003</v>
      </c>
      <c r="BB25">
        <v>6.7</v>
      </c>
      <c r="BC25">
        <v>8</v>
      </c>
      <c r="BD25">
        <v>6.2</v>
      </c>
      <c r="BE25">
        <v>7.8</v>
      </c>
    </row>
    <row r="26" spans="1:57" x14ac:dyDescent="0.25">
      <c r="A26" t="s">
        <v>682</v>
      </c>
      <c r="B26">
        <v>999</v>
      </c>
      <c r="C26" t="s">
        <v>53</v>
      </c>
      <c r="D26">
        <v>2</v>
      </c>
      <c r="E26" t="s">
        <v>40</v>
      </c>
      <c r="F26" t="s">
        <v>383</v>
      </c>
      <c r="G26">
        <v>1243</v>
      </c>
      <c r="H26">
        <v>0</v>
      </c>
      <c r="I26">
        <v>1</v>
      </c>
      <c r="J26">
        <v>1</v>
      </c>
      <c r="K26" t="s">
        <v>338</v>
      </c>
      <c r="L26" t="s">
        <v>597</v>
      </c>
      <c r="M26" t="s">
        <v>597</v>
      </c>
      <c r="P26" t="s">
        <v>159</v>
      </c>
      <c r="Q26">
        <v>4.9000000000000004</v>
      </c>
      <c r="R26">
        <v>7.39</v>
      </c>
      <c r="S26">
        <v>6.06</v>
      </c>
      <c r="T26">
        <v>6.87</v>
      </c>
      <c r="U26">
        <v>4.9000000000000004</v>
      </c>
      <c r="V26">
        <v>96.8</v>
      </c>
      <c r="W26">
        <v>92.9</v>
      </c>
      <c r="X26">
        <v>3.2</v>
      </c>
      <c r="Y26">
        <v>3.1</v>
      </c>
      <c r="Z26">
        <v>0.8</v>
      </c>
      <c r="AB26">
        <v>3.9</v>
      </c>
      <c r="AC26">
        <v>140</v>
      </c>
      <c r="AD26">
        <v>1.25</v>
      </c>
      <c r="AE26">
        <v>99</v>
      </c>
      <c r="AF26" t="s">
        <v>683</v>
      </c>
      <c r="AG26">
        <v>6.2</v>
      </c>
      <c r="AI26">
        <v>10.3</v>
      </c>
      <c r="AJ26">
        <v>1.7</v>
      </c>
      <c r="AK26">
        <v>2.6</v>
      </c>
      <c r="AL26">
        <v>26.4</v>
      </c>
      <c r="AM26">
        <v>100.1</v>
      </c>
      <c r="AN26">
        <v>14</v>
      </c>
      <c r="AO26">
        <v>18</v>
      </c>
      <c r="AP26">
        <v>10.5</v>
      </c>
      <c r="AQ26">
        <v>2.2999999999999998</v>
      </c>
      <c r="AR26">
        <v>1.25</v>
      </c>
      <c r="AS26">
        <v>27.5</v>
      </c>
      <c r="AT26">
        <v>59.4</v>
      </c>
      <c r="AU26">
        <v>64.8</v>
      </c>
      <c r="AV26">
        <v>24</v>
      </c>
      <c r="AW26">
        <v>7432</v>
      </c>
      <c r="AX26" t="s">
        <v>684</v>
      </c>
      <c r="AY26" t="s">
        <v>685</v>
      </c>
      <c r="AZ26">
        <v>305.60000000000002</v>
      </c>
      <c r="BA26">
        <v>40.700000000000003</v>
      </c>
      <c r="BB26">
        <v>2.2999999999999998</v>
      </c>
      <c r="BC26">
        <v>2.6</v>
      </c>
      <c r="BD26">
        <v>2.2000000000000002</v>
      </c>
      <c r="BE26">
        <v>2.5</v>
      </c>
    </row>
    <row r="27" spans="1:57" x14ac:dyDescent="0.25">
      <c r="A27" t="s">
        <v>609</v>
      </c>
      <c r="B27">
        <v>132</v>
      </c>
      <c r="C27" t="s">
        <v>56</v>
      </c>
      <c r="D27">
        <v>2</v>
      </c>
      <c r="E27" t="s">
        <v>54</v>
      </c>
      <c r="F27" t="s">
        <v>383</v>
      </c>
      <c r="G27">
        <v>1015.2</v>
      </c>
      <c r="H27">
        <v>0</v>
      </c>
      <c r="I27">
        <v>0</v>
      </c>
      <c r="J27">
        <v>1</v>
      </c>
      <c r="K27" t="s">
        <v>360</v>
      </c>
      <c r="L27" t="s">
        <v>597</v>
      </c>
      <c r="M27" t="s">
        <v>597</v>
      </c>
      <c r="P27" t="s">
        <v>161</v>
      </c>
      <c r="Q27">
        <v>6.3</v>
      </c>
      <c r="R27">
        <v>7.3730000000000002</v>
      </c>
      <c r="S27">
        <v>7.22</v>
      </c>
      <c r="T27">
        <v>5.21</v>
      </c>
      <c r="U27">
        <v>6.3</v>
      </c>
      <c r="V27">
        <v>83.9</v>
      </c>
      <c r="W27">
        <v>82.6</v>
      </c>
      <c r="X27">
        <v>1.2</v>
      </c>
      <c r="Y27">
        <v>15.9</v>
      </c>
      <c r="Z27">
        <v>0.3</v>
      </c>
      <c r="AB27">
        <v>3.6</v>
      </c>
      <c r="AC27">
        <v>139</v>
      </c>
      <c r="AD27">
        <v>1.34</v>
      </c>
      <c r="AE27">
        <v>97</v>
      </c>
      <c r="AF27" t="s">
        <v>610</v>
      </c>
      <c r="AG27">
        <v>3.4</v>
      </c>
      <c r="AI27">
        <v>11.8</v>
      </c>
      <c r="AJ27">
        <v>2.8</v>
      </c>
      <c r="AK27">
        <v>6.3</v>
      </c>
      <c r="AL27">
        <v>28.9</v>
      </c>
      <c r="AM27">
        <v>100.1</v>
      </c>
      <c r="AN27">
        <v>9.9</v>
      </c>
      <c r="AO27">
        <v>13.5</v>
      </c>
      <c r="AP27">
        <v>13.9</v>
      </c>
      <c r="AQ27">
        <v>5.2</v>
      </c>
      <c r="AR27">
        <v>1.32</v>
      </c>
      <c r="AS27">
        <v>31.5</v>
      </c>
      <c r="AT27">
        <v>66.599999999999994</v>
      </c>
      <c r="AU27">
        <v>74.3</v>
      </c>
      <c r="AV27">
        <v>31.1</v>
      </c>
      <c r="AW27">
        <v>7470</v>
      </c>
      <c r="AX27" t="s">
        <v>611</v>
      </c>
      <c r="AY27" t="s">
        <v>612</v>
      </c>
      <c r="AZ27">
        <v>294</v>
      </c>
      <c r="BA27">
        <v>42.3</v>
      </c>
      <c r="BB27">
        <v>5.2</v>
      </c>
      <c r="BC27">
        <v>6.3</v>
      </c>
      <c r="BD27">
        <v>4.9000000000000004</v>
      </c>
      <c r="BE27">
        <v>6.1</v>
      </c>
    </row>
    <row r="28" spans="1:57" x14ac:dyDescent="0.25">
      <c r="A28" t="s">
        <v>789</v>
      </c>
      <c r="B28">
        <v>128</v>
      </c>
      <c r="C28" t="s">
        <v>80</v>
      </c>
      <c r="D28">
        <v>2</v>
      </c>
      <c r="E28" t="s">
        <v>142</v>
      </c>
      <c r="F28" t="s">
        <v>382</v>
      </c>
      <c r="G28">
        <v>678</v>
      </c>
      <c r="H28">
        <v>1</v>
      </c>
      <c r="I28">
        <v>1</v>
      </c>
      <c r="J28">
        <v>0</v>
      </c>
      <c r="K28" t="s">
        <v>365</v>
      </c>
      <c r="L28" t="s">
        <v>597</v>
      </c>
      <c r="M28" t="s">
        <v>597</v>
      </c>
      <c r="P28" t="s">
        <v>163</v>
      </c>
      <c r="Q28">
        <v>5.9</v>
      </c>
      <c r="R28">
        <v>7.1710000000000003</v>
      </c>
      <c r="S28">
        <v>7.56</v>
      </c>
      <c r="T28">
        <v>8.23</v>
      </c>
      <c r="U28">
        <v>5.9</v>
      </c>
      <c r="V28">
        <v>94.4</v>
      </c>
      <c r="W28">
        <v>92.8</v>
      </c>
      <c r="X28">
        <v>1.4</v>
      </c>
      <c r="Y28">
        <v>5.5</v>
      </c>
      <c r="Z28">
        <v>0.3</v>
      </c>
      <c r="AB28">
        <v>6.4</v>
      </c>
      <c r="AC28">
        <v>136</v>
      </c>
      <c r="AD28">
        <v>0.98</v>
      </c>
      <c r="AE28">
        <v>99</v>
      </c>
      <c r="AF28" t="s">
        <v>747</v>
      </c>
      <c r="AG28">
        <v>1.6</v>
      </c>
      <c r="AI28">
        <v>12.4</v>
      </c>
      <c r="AJ28">
        <v>2.89</v>
      </c>
      <c r="AK28">
        <v>-7.8</v>
      </c>
      <c r="AL28">
        <v>18.100000000000001</v>
      </c>
      <c r="AM28">
        <v>100.1</v>
      </c>
      <c r="AN28">
        <v>16.7</v>
      </c>
      <c r="AO28">
        <v>23.1</v>
      </c>
      <c r="AP28">
        <v>12.9</v>
      </c>
      <c r="AQ28">
        <v>-7.8</v>
      </c>
      <c r="AR28">
        <v>0.87</v>
      </c>
      <c r="AS28">
        <v>20.7</v>
      </c>
      <c r="AT28">
        <v>45.9</v>
      </c>
      <c r="AU28">
        <v>50.3</v>
      </c>
      <c r="AV28">
        <v>28.9</v>
      </c>
      <c r="AW28">
        <v>7268</v>
      </c>
      <c r="AX28" t="s">
        <v>680</v>
      </c>
      <c r="AY28" t="s">
        <v>790</v>
      </c>
      <c r="AZ28">
        <v>306.5</v>
      </c>
      <c r="BA28">
        <v>67.5</v>
      </c>
      <c r="BB28">
        <v>-7.8</v>
      </c>
      <c r="BC28">
        <v>-7.8</v>
      </c>
      <c r="BD28">
        <v>-7.9</v>
      </c>
      <c r="BE28">
        <v>-7.9</v>
      </c>
    </row>
    <row r="29" spans="1:57" x14ac:dyDescent="0.25">
      <c r="A29" t="s">
        <v>847</v>
      </c>
      <c r="B29">
        <v>141</v>
      </c>
      <c r="C29" t="s">
        <v>82</v>
      </c>
      <c r="D29">
        <v>2</v>
      </c>
      <c r="E29" t="s">
        <v>146</v>
      </c>
      <c r="F29" t="s">
        <v>383</v>
      </c>
      <c r="G29">
        <v>1405</v>
      </c>
      <c r="H29">
        <v>0</v>
      </c>
      <c r="I29">
        <v>1</v>
      </c>
      <c r="J29">
        <v>0</v>
      </c>
      <c r="K29" t="s">
        <v>328</v>
      </c>
      <c r="L29" t="s">
        <v>597</v>
      </c>
      <c r="M29" t="s">
        <v>597</v>
      </c>
      <c r="P29" t="s">
        <v>165</v>
      </c>
      <c r="Q29">
        <v>5.7</v>
      </c>
      <c r="R29">
        <v>7.3849999999999998</v>
      </c>
      <c r="S29">
        <v>7.44</v>
      </c>
      <c r="T29">
        <v>7.63</v>
      </c>
      <c r="U29">
        <v>5.7</v>
      </c>
      <c r="V29">
        <v>95.5</v>
      </c>
      <c r="W29">
        <v>94</v>
      </c>
      <c r="X29">
        <v>1.3</v>
      </c>
      <c r="Y29">
        <v>4.4000000000000004</v>
      </c>
      <c r="Z29">
        <v>0.3</v>
      </c>
      <c r="AB29">
        <v>4.5</v>
      </c>
      <c r="AC29">
        <v>142</v>
      </c>
      <c r="AD29">
        <v>1.19</v>
      </c>
      <c r="AE29">
        <v>97</v>
      </c>
      <c r="AF29" t="s">
        <v>848</v>
      </c>
      <c r="AG29">
        <v>2.2999999999999998</v>
      </c>
      <c r="AI29">
        <v>12.2</v>
      </c>
      <c r="AJ29">
        <v>2.36</v>
      </c>
      <c r="AK29">
        <v>8.3000000000000007</v>
      </c>
      <c r="AL29">
        <v>30.9</v>
      </c>
      <c r="AM29">
        <v>100.1</v>
      </c>
      <c r="AN29">
        <v>12.2</v>
      </c>
      <c r="AO29">
        <v>16.7</v>
      </c>
      <c r="AP29">
        <v>12.6</v>
      </c>
      <c r="AQ29">
        <v>7.2</v>
      </c>
      <c r="AR29">
        <v>1.18</v>
      </c>
      <c r="AS29">
        <v>33.299999999999997</v>
      </c>
      <c r="AT29">
        <v>70.8</v>
      </c>
      <c r="AU29">
        <v>78.5</v>
      </c>
      <c r="AV29">
        <v>28.3</v>
      </c>
      <c r="AW29">
        <v>7495</v>
      </c>
      <c r="AX29" t="s">
        <v>849</v>
      </c>
      <c r="AY29" t="s">
        <v>850</v>
      </c>
      <c r="AZ29">
        <v>288.5</v>
      </c>
      <c r="BA29">
        <v>41.2</v>
      </c>
      <c r="BB29">
        <v>7.2</v>
      </c>
      <c r="BC29">
        <v>8.3000000000000007</v>
      </c>
      <c r="BD29">
        <v>7.1</v>
      </c>
      <c r="BE29">
        <v>8.1999999999999993</v>
      </c>
    </row>
    <row r="30" spans="1:57" x14ac:dyDescent="0.25">
      <c r="A30" t="s">
        <v>695</v>
      </c>
      <c r="B30">
        <v>131</v>
      </c>
      <c r="C30" t="s">
        <v>58</v>
      </c>
      <c r="D30">
        <v>2</v>
      </c>
      <c r="E30" t="s">
        <v>71</v>
      </c>
      <c r="F30" t="s">
        <v>383</v>
      </c>
      <c r="G30">
        <v>1202.8</v>
      </c>
      <c r="H30">
        <v>0</v>
      </c>
      <c r="I30">
        <v>0</v>
      </c>
      <c r="J30">
        <v>0</v>
      </c>
      <c r="K30" t="s">
        <v>358</v>
      </c>
      <c r="L30" t="s">
        <v>597</v>
      </c>
      <c r="M30" t="s">
        <v>597</v>
      </c>
      <c r="P30" t="s">
        <v>167</v>
      </c>
      <c r="Q30">
        <v>7.3</v>
      </c>
      <c r="R30">
        <v>7.4779999999999998</v>
      </c>
      <c r="S30">
        <v>6.22</v>
      </c>
      <c r="T30">
        <v>4.4800000000000004</v>
      </c>
      <c r="U30">
        <v>7.3</v>
      </c>
      <c r="V30">
        <v>81.900000000000006</v>
      </c>
      <c r="W30">
        <v>81</v>
      </c>
      <c r="X30">
        <v>0.8</v>
      </c>
      <c r="Y30">
        <v>17.899999999999999</v>
      </c>
      <c r="Z30">
        <v>0.3</v>
      </c>
      <c r="AB30">
        <v>3.9</v>
      </c>
      <c r="AC30">
        <v>141</v>
      </c>
      <c r="AD30">
        <v>1.23</v>
      </c>
      <c r="AE30">
        <v>98</v>
      </c>
      <c r="AF30" t="s">
        <v>696</v>
      </c>
      <c r="AG30">
        <v>2.7</v>
      </c>
      <c r="AI30">
        <v>13.4</v>
      </c>
      <c r="AJ30">
        <v>2.5099999999999998</v>
      </c>
      <c r="AK30">
        <v>11</v>
      </c>
      <c r="AL30">
        <v>33.1</v>
      </c>
      <c r="AM30">
        <v>100.1</v>
      </c>
      <c r="AN30">
        <v>8.5</v>
      </c>
      <c r="AO30">
        <v>12.4</v>
      </c>
      <c r="AP30">
        <v>16.2</v>
      </c>
      <c r="AQ30">
        <v>9.6999999999999993</v>
      </c>
      <c r="AR30">
        <v>1.28</v>
      </c>
      <c r="AS30">
        <v>34.5</v>
      </c>
      <c r="AT30">
        <v>70.400000000000006</v>
      </c>
      <c r="AU30">
        <v>80.599999999999994</v>
      </c>
      <c r="AV30">
        <v>36.1</v>
      </c>
      <c r="AW30">
        <v>7528</v>
      </c>
      <c r="AX30" t="s">
        <v>697</v>
      </c>
      <c r="AY30" t="s">
        <v>698</v>
      </c>
      <c r="AZ30">
        <v>284.39999999999998</v>
      </c>
      <c r="BA30">
        <v>33.299999999999997</v>
      </c>
      <c r="BB30">
        <v>9.6999999999999993</v>
      </c>
      <c r="BC30">
        <v>11</v>
      </c>
      <c r="BD30">
        <v>9.3000000000000007</v>
      </c>
      <c r="BE30">
        <v>10.8</v>
      </c>
    </row>
    <row r="31" spans="1:57" x14ac:dyDescent="0.25">
      <c r="A31" t="s">
        <v>771</v>
      </c>
      <c r="B31">
        <v>140</v>
      </c>
      <c r="C31" t="s">
        <v>60</v>
      </c>
      <c r="D31">
        <v>2</v>
      </c>
      <c r="E31" t="s">
        <v>142</v>
      </c>
      <c r="F31" t="s">
        <v>383</v>
      </c>
      <c r="G31">
        <v>1261</v>
      </c>
      <c r="H31">
        <v>1</v>
      </c>
      <c r="I31">
        <v>1</v>
      </c>
      <c r="J31">
        <v>0</v>
      </c>
      <c r="K31" t="s">
        <v>329</v>
      </c>
      <c r="L31" t="s">
        <v>597</v>
      </c>
      <c r="M31" t="s">
        <v>597</v>
      </c>
      <c r="P31" t="s">
        <v>169</v>
      </c>
      <c r="Q31">
        <v>6.9</v>
      </c>
      <c r="R31">
        <v>7.41</v>
      </c>
      <c r="S31">
        <v>7.09</v>
      </c>
      <c r="T31">
        <v>3.99</v>
      </c>
      <c r="U31">
        <v>6.9</v>
      </c>
      <c r="V31">
        <v>68.3</v>
      </c>
      <c r="W31">
        <v>67.400000000000006</v>
      </c>
      <c r="X31">
        <v>1</v>
      </c>
      <c r="Y31">
        <v>31.3</v>
      </c>
      <c r="Z31">
        <v>0.3</v>
      </c>
      <c r="AB31">
        <v>4.3</v>
      </c>
      <c r="AC31">
        <v>170</v>
      </c>
      <c r="AD31">
        <v>0.69</v>
      </c>
      <c r="AE31">
        <v>122</v>
      </c>
      <c r="AF31" t="s">
        <v>772</v>
      </c>
      <c r="AG31">
        <v>1.5</v>
      </c>
      <c r="AI31">
        <v>10.6</v>
      </c>
      <c r="AJ31">
        <v>2.97</v>
      </c>
      <c r="AK31">
        <v>9.1</v>
      </c>
      <c r="AL31">
        <v>30.9</v>
      </c>
      <c r="AM31">
        <v>100.1</v>
      </c>
      <c r="AN31">
        <v>14.5</v>
      </c>
      <c r="AO31">
        <v>18.8</v>
      </c>
      <c r="AP31">
        <v>15.3</v>
      </c>
      <c r="AQ31">
        <v>7.7</v>
      </c>
      <c r="AR31">
        <v>0.69</v>
      </c>
      <c r="AS31">
        <v>33.700000000000003</v>
      </c>
      <c r="AT31">
        <v>70.2</v>
      </c>
      <c r="AU31">
        <v>79.2</v>
      </c>
      <c r="AV31">
        <v>34.200000000000003</v>
      </c>
      <c r="AW31">
        <v>7502</v>
      </c>
      <c r="AX31" t="s">
        <v>773</v>
      </c>
      <c r="AY31" t="s">
        <v>774</v>
      </c>
      <c r="AZ31">
        <v>343.4</v>
      </c>
      <c r="BA31">
        <v>38.9</v>
      </c>
      <c r="BB31">
        <v>7.7</v>
      </c>
      <c r="BC31">
        <v>9.1</v>
      </c>
      <c r="BD31">
        <v>7.1</v>
      </c>
      <c r="BE31">
        <v>8.8000000000000007</v>
      </c>
    </row>
    <row r="32" spans="1:57" x14ac:dyDescent="0.25">
      <c r="A32" t="s">
        <v>674</v>
      </c>
      <c r="B32">
        <v>115</v>
      </c>
      <c r="C32" t="s">
        <v>62</v>
      </c>
      <c r="D32">
        <v>2</v>
      </c>
      <c r="E32" t="s">
        <v>40</v>
      </c>
      <c r="F32" t="s">
        <v>383</v>
      </c>
      <c r="G32">
        <v>791</v>
      </c>
      <c r="H32">
        <v>0</v>
      </c>
      <c r="I32">
        <v>1</v>
      </c>
      <c r="J32">
        <v>1</v>
      </c>
      <c r="K32" t="s">
        <v>331</v>
      </c>
      <c r="L32" t="s">
        <v>597</v>
      </c>
      <c r="M32" t="s">
        <v>597</v>
      </c>
      <c r="P32" t="s">
        <v>171</v>
      </c>
      <c r="Q32">
        <v>6.6</v>
      </c>
      <c r="R32">
        <v>7.391</v>
      </c>
      <c r="S32">
        <v>7.44</v>
      </c>
      <c r="T32">
        <v>5.96</v>
      </c>
      <c r="U32">
        <v>6.6</v>
      </c>
      <c r="V32">
        <v>90.3</v>
      </c>
      <c r="W32">
        <v>89.1</v>
      </c>
      <c r="X32">
        <v>1.2</v>
      </c>
      <c r="Y32">
        <v>9.6</v>
      </c>
      <c r="Z32">
        <v>0.1</v>
      </c>
      <c r="AB32">
        <v>3.9</v>
      </c>
      <c r="AC32">
        <v>143</v>
      </c>
      <c r="AD32">
        <v>1.33</v>
      </c>
      <c r="AE32">
        <v>99</v>
      </c>
      <c r="AF32" t="s">
        <v>675</v>
      </c>
      <c r="AG32">
        <v>2.2999999999999998</v>
      </c>
      <c r="AI32">
        <v>13.4</v>
      </c>
      <c r="AJ32">
        <v>2.56</v>
      </c>
      <c r="AK32">
        <v>8.9</v>
      </c>
      <c r="AL32">
        <v>31.1</v>
      </c>
      <c r="AM32">
        <v>100.1</v>
      </c>
      <c r="AN32">
        <v>10.5</v>
      </c>
      <c r="AO32">
        <v>14.4</v>
      </c>
      <c r="AP32">
        <v>14.7</v>
      </c>
      <c r="AQ32">
        <v>7.5</v>
      </c>
      <c r="AR32">
        <v>1.33</v>
      </c>
      <c r="AS32">
        <v>33.799999999999997</v>
      </c>
      <c r="AT32">
        <v>70.599999999999994</v>
      </c>
      <c r="AU32">
        <v>79.599999999999994</v>
      </c>
      <c r="AV32">
        <v>32.799999999999997</v>
      </c>
      <c r="AW32">
        <v>7499</v>
      </c>
      <c r="AX32" t="s">
        <v>676</v>
      </c>
      <c r="AY32" t="s">
        <v>677</v>
      </c>
      <c r="AZ32">
        <v>291.3</v>
      </c>
      <c r="BA32">
        <v>40.700000000000003</v>
      </c>
      <c r="BB32">
        <v>7.5</v>
      </c>
      <c r="BC32">
        <v>8.9</v>
      </c>
      <c r="BD32">
        <v>7.3</v>
      </c>
      <c r="BE32">
        <v>8.8000000000000007</v>
      </c>
    </row>
    <row r="33" spans="1:57" x14ac:dyDescent="0.25">
      <c r="A33" t="s">
        <v>727</v>
      </c>
      <c r="B33">
        <v>134</v>
      </c>
      <c r="C33" t="s">
        <v>64</v>
      </c>
      <c r="D33">
        <v>2</v>
      </c>
      <c r="E33" t="s">
        <v>71</v>
      </c>
      <c r="F33" t="s">
        <v>383</v>
      </c>
      <c r="G33">
        <v>1031</v>
      </c>
      <c r="H33">
        <v>0</v>
      </c>
      <c r="I33">
        <v>0</v>
      </c>
      <c r="J33">
        <v>0</v>
      </c>
      <c r="K33" t="s">
        <v>353</v>
      </c>
      <c r="L33" t="s">
        <v>597</v>
      </c>
      <c r="M33" t="s">
        <v>597</v>
      </c>
      <c r="P33" t="s">
        <v>173</v>
      </c>
      <c r="Q33">
        <v>5.8</v>
      </c>
      <c r="R33">
        <v>7.4359999999999999</v>
      </c>
      <c r="S33">
        <v>6.44</v>
      </c>
      <c r="T33">
        <v>3.19</v>
      </c>
      <c r="U33">
        <v>5.8</v>
      </c>
      <c r="V33">
        <v>54.8</v>
      </c>
      <c r="W33">
        <v>54</v>
      </c>
      <c r="X33">
        <v>1</v>
      </c>
      <c r="Y33">
        <v>44.5</v>
      </c>
      <c r="Z33">
        <v>0.5</v>
      </c>
      <c r="AB33">
        <v>3.7</v>
      </c>
      <c r="AC33">
        <v>187</v>
      </c>
      <c r="AD33">
        <v>0.47</v>
      </c>
      <c r="AE33">
        <v>127</v>
      </c>
      <c r="AF33" t="s">
        <v>728</v>
      </c>
      <c r="AG33">
        <v>1.6</v>
      </c>
      <c r="AI33">
        <v>7.1</v>
      </c>
      <c r="AJ33">
        <v>2.96</v>
      </c>
      <c r="AK33">
        <v>8.3000000000000007</v>
      </c>
      <c r="AL33">
        <v>30.4</v>
      </c>
      <c r="AM33">
        <v>100.1</v>
      </c>
      <c r="AN33">
        <v>27.1</v>
      </c>
      <c r="AO33">
        <v>30.7</v>
      </c>
      <c r="AP33">
        <v>12.9</v>
      </c>
      <c r="AQ33">
        <v>7.4</v>
      </c>
      <c r="AR33">
        <v>0.48</v>
      </c>
      <c r="AS33">
        <v>32.5</v>
      </c>
      <c r="AT33">
        <v>69</v>
      </c>
      <c r="AU33">
        <v>76.2</v>
      </c>
      <c r="AV33">
        <v>28.9</v>
      </c>
      <c r="AW33">
        <v>7499</v>
      </c>
      <c r="AX33" t="s">
        <v>729</v>
      </c>
      <c r="AY33" t="s">
        <v>730</v>
      </c>
      <c r="AZ33">
        <v>376.6</v>
      </c>
      <c r="BA33">
        <v>36.6</v>
      </c>
      <c r="BB33">
        <v>7.4</v>
      </c>
      <c r="BC33">
        <v>8.3000000000000007</v>
      </c>
      <c r="BD33">
        <v>6.5</v>
      </c>
      <c r="BE33">
        <v>7.9</v>
      </c>
    </row>
    <row r="34" spans="1:57" x14ac:dyDescent="0.25">
      <c r="A34" t="s">
        <v>748</v>
      </c>
      <c r="B34">
        <v>129</v>
      </c>
      <c r="C34" t="s">
        <v>66</v>
      </c>
      <c r="D34">
        <v>2</v>
      </c>
      <c r="E34" t="s">
        <v>142</v>
      </c>
      <c r="F34" t="s">
        <v>382</v>
      </c>
      <c r="G34">
        <v>1098.7</v>
      </c>
      <c r="H34">
        <v>1</v>
      </c>
      <c r="I34">
        <v>1</v>
      </c>
      <c r="J34">
        <v>0</v>
      </c>
      <c r="K34" t="s">
        <v>336</v>
      </c>
      <c r="L34" t="s">
        <v>597</v>
      </c>
      <c r="M34" t="s">
        <v>597</v>
      </c>
      <c r="P34" t="s">
        <v>178</v>
      </c>
      <c r="Q34">
        <v>7</v>
      </c>
      <c r="R34">
        <v>7.4240000000000004</v>
      </c>
      <c r="S34">
        <v>7.32</v>
      </c>
      <c r="T34">
        <v>3.11</v>
      </c>
      <c r="U34">
        <v>7</v>
      </c>
      <c r="V34">
        <v>54.7</v>
      </c>
      <c r="W34">
        <v>54.1</v>
      </c>
      <c r="X34">
        <v>0.7</v>
      </c>
      <c r="Y34">
        <v>44.8</v>
      </c>
      <c r="Z34">
        <v>0.4</v>
      </c>
      <c r="AB34">
        <v>3.8</v>
      </c>
      <c r="AC34">
        <v>138</v>
      </c>
      <c r="AD34">
        <v>1.28</v>
      </c>
      <c r="AE34">
        <v>96</v>
      </c>
      <c r="AF34" t="s">
        <v>749</v>
      </c>
      <c r="AG34">
        <v>1.6</v>
      </c>
      <c r="AI34">
        <v>8.6</v>
      </c>
      <c r="AJ34">
        <v>2.89</v>
      </c>
      <c r="AK34">
        <v>11.5</v>
      </c>
      <c r="AL34">
        <v>32.700000000000003</v>
      </c>
      <c r="AM34">
        <v>100.1</v>
      </c>
      <c r="AN34">
        <v>6.9</v>
      </c>
      <c r="AO34">
        <v>10.7</v>
      </c>
      <c r="AP34">
        <v>15.6</v>
      </c>
      <c r="AQ34">
        <v>9.8000000000000007</v>
      </c>
      <c r="AR34">
        <v>1.29</v>
      </c>
      <c r="AS34">
        <v>35.9</v>
      </c>
      <c r="AT34">
        <v>74.8</v>
      </c>
      <c r="AU34">
        <v>84.2</v>
      </c>
      <c r="AV34">
        <v>34.700000000000003</v>
      </c>
      <c r="AW34">
        <v>7528</v>
      </c>
      <c r="AX34" t="s">
        <v>672</v>
      </c>
      <c r="AY34" t="s">
        <v>750</v>
      </c>
      <c r="AZ34">
        <v>279.39999999999998</v>
      </c>
      <c r="BA34">
        <v>37.700000000000003</v>
      </c>
      <c r="BB34">
        <v>9.8000000000000007</v>
      </c>
      <c r="BC34">
        <v>11.5</v>
      </c>
      <c r="BD34">
        <v>8.9</v>
      </c>
      <c r="BE34">
        <v>11.1</v>
      </c>
    </row>
    <row r="35" spans="1:57" x14ac:dyDescent="0.25">
      <c r="A35" t="s">
        <v>662</v>
      </c>
      <c r="B35">
        <v>124</v>
      </c>
      <c r="C35" t="s">
        <v>385</v>
      </c>
      <c r="D35">
        <v>2</v>
      </c>
      <c r="E35" t="s">
        <v>40</v>
      </c>
      <c r="F35" t="s">
        <v>382</v>
      </c>
      <c r="G35">
        <v>793.5</v>
      </c>
      <c r="H35">
        <v>0</v>
      </c>
      <c r="I35">
        <v>1</v>
      </c>
      <c r="J35">
        <v>1</v>
      </c>
      <c r="K35" t="s">
        <v>345</v>
      </c>
      <c r="L35" t="s">
        <v>597</v>
      </c>
      <c r="M35" t="s">
        <v>597</v>
      </c>
      <c r="P35" t="s">
        <v>180</v>
      </c>
      <c r="Q35">
        <v>5.6</v>
      </c>
      <c r="R35">
        <v>7.13</v>
      </c>
      <c r="S35">
        <v>9.58</v>
      </c>
      <c r="T35">
        <v>4.9400000000000004</v>
      </c>
      <c r="U35">
        <v>5.6</v>
      </c>
      <c r="V35">
        <v>78.400000000000006</v>
      </c>
      <c r="W35">
        <v>77.099999999999994</v>
      </c>
      <c r="X35">
        <v>1.2</v>
      </c>
      <c r="Y35">
        <v>21.2</v>
      </c>
      <c r="Z35">
        <v>0.5</v>
      </c>
      <c r="AB35">
        <v>6.1</v>
      </c>
      <c r="AC35">
        <v>119</v>
      </c>
      <c r="AD35">
        <v>1.1299999999999999</v>
      </c>
      <c r="AE35">
        <v>79</v>
      </c>
      <c r="AF35" t="s">
        <v>663</v>
      </c>
      <c r="AG35">
        <v>1.5</v>
      </c>
      <c r="AI35">
        <v>9.6999999999999993</v>
      </c>
      <c r="AJ35">
        <v>3.05</v>
      </c>
      <c r="AK35">
        <v>-5.3</v>
      </c>
      <c r="AL35">
        <v>19.5</v>
      </c>
      <c r="AM35">
        <v>100.1</v>
      </c>
      <c r="AN35">
        <v>16.3</v>
      </c>
      <c r="AO35">
        <v>22.3</v>
      </c>
      <c r="AP35">
        <v>12.3</v>
      </c>
      <c r="AQ35">
        <v>-5.7</v>
      </c>
      <c r="AR35">
        <v>0.97</v>
      </c>
      <c r="AS35">
        <v>23.9</v>
      </c>
      <c r="AT35">
        <v>53.8</v>
      </c>
      <c r="AU35">
        <v>58.4</v>
      </c>
      <c r="AV35">
        <v>27.5</v>
      </c>
      <c r="AW35">
        <v>7299</v>
      </c>
      <c r="AX35" t="s">
        <v>664</v>
      </c>
      <c r="AY35" t="s">
        <v>665</v>
      </c>
      <c r="BA35">
        <v>74.2</v>
      </c>
      <c r="BB35">
        <v>-5.7</v>
      </c>
      <c r="BC35">
        <v>-5.3</v>
      </c>
      <c r="BD35">
        <v>-6</v>
      </c>
      <c r="BE35">
        <v>-5.5</v>
      </c>
    </row>
    <row r="36" spans="1:57" x14ac:dyDescent="0.25">
      <c r="A36" t="s">
        <v>631</v>
      </c>
      <c r="B36">
        <v>118</v>
      </c>
      <c r="C36" t="s">
        <v>68</v>
      </c>
      <c r="D36">
        <v>2</v>
      </c>
      <c r="E36" t="s">
        <v>40</v>
      </c>
      <c r="F36" t="s">
        <v>382</v>
      </c>
      <c r="G36">
        <v>1303</v>
      </c>
      <c r="H36">
        <v>0</v>
      </c>
      <c r="I36">
        <v>1</v>
      </c>
      <c r="J36">
        <v>1</v>
      </c>
      <c r="K36" t="s">
        <v>361</v>
      </c>
      <c r="L36" t="s">
        <v>597</v>
      </c>
      <c r="M36" t="s">
        <v>597</v>
      </c>
      <c r="P36" t="s">
        <v>182</v>
      </c>
      <c r="Q36">
        <v>6.3</v>
      </c>
      <c r="R36">
        <v>7.3789999999999996</v>
      </c>
      <c r="S36">
        <v>6.59</v>
      </c>
      <c r="T36">
        <v>4.82</v>
      </c>
      <c r="U36">
        <v>6.3</v>
      </c>
      <c r="V36">
        <v>78.599999999999994</v>
      </c>
      <c r="W36">
        <v>77.5</v>
      </c>
      <c r="X36">
        <v>1.1000000000000001</v>
      </c>
      <c r="Y36">
        <v>21.1</v>
      </c>
      <c r="Z36">
        <v>0.3</v>
      </c>
      <c r="AB36">
        <v>4.4000000000000004</v>
      </c>
      <c r="AC36">
        <v>162</v>
      </c>
      <c r="AD36">
        <v>0.81</v>
      </c>
      <c r="AE36">
        <v>115</v>
      </c>
      <c r="AF36" t="s">
        <v>632</v>
      </c>
      <c r="AG36">
        <v>3.4</v>
      </c>
      <c r="AI36">
        <v>11.1</v>
      </c>
      <c r="AJ36">
        <v>2.95</v>
      </c>
      <c r="AK36">
        <v>4</v>
      </c>
      <c r="AL36">
        <v>27</v>
      </c>
      <c r="AM36">
        <v>100.1</v>
      </c>
      <c r="AN36">
        <v>17.8</v>
      </c>
      <c r="AO36">
        <v>22.2</v>
      </c>
      <c r="AP36">
        <v>14</v>
      </c>
      <c r="AQ36">
        <v>3.3</v>
      </c>
      <c r="AR36">
        <v>0.8</v>
      </c>
      <c r="AS36">
        <v>29.1</v>
      </c>
      <c r="AT36">
        <v>61.5</v>
      </c>
      <c r="AU36">
        <v>68.7</v>
      </c>
      <c r="AV36">
        <v>31.2</v>
      </c>
      <c r="AW36">
        <v>7445</v>
      </c>
      <c r="AX36" t="s">
        <v>633</v>
      </c>
      <c r="AY36" t="s">
        <v>634</v>
      </c>
      <c r="AZ36">
        <v>351.4</v>
      </c>
      <c r="BA36">
        <v>41.8</v>
      </c>
      <c r="BB36">
        <v>3.3</v>
      </c>
      <c r="BC36">
        <v>4</v>
      </c>
      <c r="BD36">
        <v>2.9</v>
      </c>
      <c r="BE36">
        <v>3.8</v>
      </c>
    </row>
    <row r="37" spans="1:57" x14ac:dyDescent="0.25">
      <c r="A37" t="s">
        <v>785</v>
      </c>
      <c r="B37">
        <v>125</v>
      </c>
      <c r="C37" t="s">
        <v>70</v>
      </c>
      <c r="D37">
        <v>2</v>
      </c>
      <c r="E37" t="s">
        <v>142</v>
      </c>
      <c r="F37" t="s">
        <v>383</v>
      </c>
      <c r="G37">
        <v>1327</v>
      </c>
      <c r="H37">
        <v>1</v>
      </c>
      <c r="I37">
        <v>1</v>
      </c>
      <c r="J37">
        <v>0</v>
      </c>
      <c r="K37" t="s">
        <v>349</v>
      </c>
      <c r="L37" t="s">
        <v>597</v>
      </c>
      <c r="M37" t="s">
        <v>597</v>
      </c>
      <c r="P37" t="s">
        <v>185</v>
      </c>
      <c r="Q37">
        <v>6.7</v>
      </c>
      <c r="R37">
        <v>7.3769999999999998</v>
      </c>
      <c r="S37">
        <v>7.31</v>
      </c>
      <c r="T37">
        <v>4.8</v>
      </c>
      <c r="U37">
        <v>6.7</v>
      </c>
      <c r="V37">
        <v>80.900000000000006</v>
      </c>
      <c r="W37">
        <v>80</v>
      </c>
      <c r="X37">
        <v>0.9</v>
      </c>
      <c r="Y37">
        <v>18.899999999999999</v>
      </c>
      <c r="Z37">
        <v>0.2</v>
      </c>
      <c r="AB37">
        <v>5.8</v>
      </c>
      <c r="AC37">
        <v>126</v>
      </c>
      <c r="AD37">
        <v>1.36</v>
      </c>
      <c r="AE37">
        <v>90</v>
      </c>
      <c r="AF37" t="s">
        <v>786</v>
      </c>
      <c r="AG37">
        <v>1.2</v>
      </c>
      <c r="AI37">
        <v>12.2</v>
      </c>
      <c r="AJ37">
        <v>2.78</v>
      </c>
      <c r="AK37">
        <v>7.1</v>
      </c>
      <c r="AL37">
        <v>29.4</v>
      </c>
      <c r="AM37">
        <v>100.1</v>
      </c>
      <c r="AN37">
        <v>4.4000000000000004</v>
      </c>
      <c r="AO37">
        <v>10.199999999999999</v>
      </c>
      <c r="AP37">
        <v>14.9</v>
      </c>
      <c r="AQ37">
        <v>5.9</v>
      </c>
      <c r="AR37">
        <v>1.34</v>
      </c>
      <c r="AS37">
        <v>32.200000000000003</v>
      </c>
      <c r="AT37">
        <v>67.5</v>
      </c>
      <c r="AU37">
        <v>76</v>
      </c>
      <c r="AV37">
        <v>33.200000000000003</v>
      </c>
      <c r="AW37">
        <v>7478</v>
      </c>
      <c r="AX37" t="s">
        <v>787</v>
      </c>
      <c r="AY37" t="s">
        <v>788</v>
      </c>
      <c r="AZ37">
        <v>268.89999999999998</v>
      </c>
      <c r="BA37">
        <v>41.9</v>
      </c>
      <c r="BB37">
        <v>5.9</v>
      </c>
      <c r="BC37">
        <v>7.1</v>
      </c>
      <c r="BD37">
        <v>5.5</v>
      </c>
      <c r="BE37">
        <v>6.9</v>
      </c>
    </row>
    <row r="38" spans="1:57" x14ac:dyDescent="0.25">
      <c r="A38" t="s">
        <v>622</v>
      </c>
      <c r="B38">
        <v>138</v>
      </c>
      <c r="C38" t="s">
        <v>386</v>
      </c>
      <c r="D38">
        <v>2</v>
      </c>
      <c r="E38" t="s">
        <v>54</v>
      </c>
      <c r="F38" t="s">
        <v>383</v>
      </c>
      <c r="G38">
        <v>1193</v>
      </c>
      <c r="H38">
        <v>0</v>
      </c>
      <c r="I38">
        <v>0</v>
      </c>
      <c r="J38">
        <v>1</v>
      </c>
      <c r="K38" t="s">
        <v>343</v>
      </c>
      <c r="L38" t="s">
        <v>597</v>
      </c>
      <c r="M38" t="s">
        <v>597</v>
      </c>
      <c r="P38" t="s">
        <v>187</v>
      </c>
      <c r="Q38">
        <v>5.3</v>
      </c>
      <c r="R38">
        <v>7.242</v>
      </c>
      <c r="S38">
        <v>7.74</v>
      </c>
      <c r="T38">
        <v>8.9</v>
      </c>
      <c r="U38">
        <v>5.3</v>
      </c>
      <c r="V38">
        <v>96.8</v>
      </c>
      <c r="W38">
        <v>95.2</v>
      </c>
      <c r="X38">
        <v>1.2</v>
      </c>
      <c r="Y38">
        <v>3.1</v>
      </c>
      <c r="Z38">
        <v>0.5</v>
      </c>
      <c r="AB38">
        <v>6.1</v>
      </c>
      <c r="AC38">
        <v>122</v>
      </c>
      <c r="AD38">
        <v>1.25</v>
      </c>
      <c r="AE38">
        <v>88</v>
      </c>
      <c r="AF38" t="s">
        <v>623</v>
      </c>
      <c r="AG38">
        <v>2.1</v>
      </c>
      <c r="AI38">
        <v>11.5</v>
      </c>
      <c r="AJ38">
        <v>2.41</v>
      </c>
      <c r="AK38">
        <v>-2.2999999999999998</v>
      </c>
      <c r="AL38">
        <v>22.2</v>
      </c>
      <c r="AM38">
        <v>100.1</v>
      </c>
      <c r="AN38">
        <v>9.9</v>
      </c>
      <c r="AO38">
        <v>16</v>
      </c>
      <c r="AP38">
        <v>11.7</v>
      </c>
      <c r="AQ38">
        <v>-2.6</v>
      </c>
      <c r="AR38">
        <v>1.1499999999999999</v>
      </c>
      <c r="AS38">
        <v>25</v>
      </c>
      <c r="AT38">
        <v>55</v>
      </c>
      <c r="AU38">
        <v>60</v>
      </c>
      <c r="AV38">
        <v>26.2</v>
      </c>
      <c r="AW38">
        <v>7356</v>
      </c>
      <c r="AX38" t="s">
        <v>624</v>
      </c>
      <c r="AY38" t="s">
        <v>625</v>
      </c>
      <c r="BA38">
        <v>57.2</v>
      </c>
      <c r="BB38">
        <v>-2.6</v>
      </c>
      <c r="BC38">
        <v>-2.2999999999999998</v>
      </c>
      <c r="BD38">
        <v>-2.6</v>
      </c>
      <c r="BE38">
        <v>-2.4</v>
      </c>
    </row>
    <row r="39" spans="1:57" x14ac:dyDescent="0.25">
      <c r="A39" t="s">
        <v>835</v>
      </c>
      <c r="B39">
        <v>121</v>
      </c>
      <c r="C39" t="s">
        <v>388</v>
      </c>
      <c r="D39">
        <v>2</v>
      </c>
      <c r="E39" t="s">
        <v>146</v>
      </c>
      <c r="F39" t="s">
        <v>383</v>
      </c>
      <c r="G39">
        <v>741.5</v>
      </c>
      <c r="H39">
        <v>0</v>
      </c>
      <c r="I39">
        <v>1</v>
      </c>
      <c r="J39">
        <v>0</v>
      </c>
      <c r="K39" t="s">
        <v>340</v>
      </c>
      <c r="L39" t="s">
        <v>597</v>
      </c>
      <c r="M39" t="s">
        <v>597</v>
      </c>
      <c r="P39" t="s">
        <v>188</v>
      </c>
      <c r="Q39">
        <v>6.2</v>
      </c>
      <c r="R39">
        <v>7.4180000000000001</v>
      </c>
      <c r="S39">
        <v>6.46</v>
      </c>
      <c r="T39">
        <v>3.72</v>
      </c>
      <c r="U39">
        <v>6.2</v>
      </c>
      <c r="V39">
        <v>65.599999999999994</v>
      </c>
      <c r="W39">
        <v>64.599999999999994</v>
      </c>
      <c r="X39">
        <v>1</v>
      </c>
      <c r="Y39">
        <v>33.9</v>
      </c>
      <c r="Z39">
        <v>0.5</v>
      </c>
      <c r="AB39">
        <v>4.2</v>
      </c>
      <c r="AC39">
        <v>177</v>
      </c>
      <c r="AD39">
        <v>0.65</v>
      </c>
      <c r="AE39">
        <v>122</v>
      </c>
      <c r="AF39" t="s">
        <v>836</v>
      </c>
      <c r="AG39">
        <v>1.8</v>
      </c>
      <c r="AI39">
        <v>9</v>
      </c>
      <c r="AJ39">
        <v>2.9</v>
      </c>
      <c r="AK39">
        <v>6.7</v>
      </c>
      <c r="AL39">
        <v>29.2</v>
      </c>
      <c r="AM39">
        <v>100.1</v>
      </c>
      <c r="AN39">
        <v>23.5</v>
      </c>
      <c r="AO39">
        <v>27.7</v>
      </c>
      <c r="AP39">
        <v>13.6</v>
      </c>
      <c r="AQ39">
        <v>5.9</v>
      </c>
      <c r="AR39">
        <v>0.65</v>
      </c>
      <c r="AS39">
        <v>31.3</v>
      </c>
      <c r="AT39">
        <v>66</v>
      </c>
      <c r="AU39">
        <v>73.400000000000006</v>
      </c>
      <c r="AV39">
        <v>30.4</v>
      </c>
      <c r="AW39">
        <v>7480</v>
      </c>
      <c r="AX39" t="s">
        <v>705</v>
      </c>
      <c r="AY39" t="s">
        <v>704</v>
      </c>
      <c r="AZ39">
        <v>359.8</v>
      </c>
      <c r="BA39">
        <v>38.200000000000003</v>
      </c>
      <c r="BB39">
        <v>5.9</v>
      </c>
      <c r="BC39">
        <v>6.7</v>
      </c>
      <c r="BD39">
        <v>5.2</v>
      </c>
      <c r="BE39">
        <v>6.4</v>
      </c>
    </row>
    <row r="40" spans="1:57" x14ac:dyDescent="0.25">
      <c r="A40" t="s">
        <v>824</v>
      </c>
      <c r="B40">
        <v>127</v>
      </c>
      <c r="C40" t="s">
        <v>389</v>
      </c>
      <c r="D40">
        <v>2</v>
      </c>
      <c r="E40" t="s">
        <v>146</v>
      </c>
      <c r="F40" t="s">
        <v>383</v>
      </c>
      <c r="G40">
        <v>1281</v>
      </c>
      <c r="H40">
        <v>0</v>
      </c>
      <c r="I40">
        <v>1</v>
      </c>
      <c r="J40">
        <v>0</v>
      </c>
      <c r="K40" t="s">
        <v>335</v>
      </c>
      <c r="L40" t="s">
        <v>597</v>
      </c>
      <c r="M40" t="s">
        <v>597</v>
      </c>
      <c r="P40" t="s">
        <v>189</v>
      </c>
      <c r="Q40">
        <v>5.5</v>
      </c>
      <c r="R40">
        <v>7.4349999999999996</v>
      </c>
      <c r="S40">
        <v>6.51</v>
      </c>
      <c r="T40">
        <v>3.62</v>
      </c>
      <c r="U40">
        <v>5.5</v>
      </c>
      <c r="V40">
        <v>69.099999999999994</v>
      </c>
      <c r="W40">
        <v>67.900000000000006</v>
      </c>
      <c r="X40">
        <v>1.3</v>
      </c>
      <c r="Y40">
        <v>30.3</v>
      </c>
      <c r="Z40">
        <v>0.5</v>
      </c>
      <c r="AB40">
        <v>4.5</v>
      </c>
      <c r="AC40">
        <v>136</v>
      </c>
      <c r="AD40">
        <v>1.26</v>
      </c>
      <c r="AE40">
        <v>95</v>
      </c>
      <c r="AF40" t="s">
        <v>825</v>
      </c>
      <c r="AG40">
        <v>3</v>
      </c>
      <c r="AI40">
        <v>8.5</v>
      </c>
      <c r="AJ40">
        <v>2.65</v>
      </c>
      <c r="AK40">
        <v>8.5</v>
      </c>
      <c r="AL40">
        <v>30.9</v>
      </c>
      <c r="AM40">
        <v>100.1</v>
      </c>
      <c r="AN40">
        <v>8.1999999999999993</v>
      </c>
      <c r="AO40">
        <v>12.7</v>
      </c>
      <c r="AP40">
        <v>12.1</v>
      </c>
      <c r="AQ40">
        <v>7.5</v>
      </c>
      <c r="AR40">
        <v>1.28</v>
      </c>
      <c r="AS40">
        <v>32.700000000000003</v>
      </c>
      <c r="AT40">
        <v>69.7</v>
      </c>
      <c r="AU40">
        <v>76.7</v>
      </c>
      <c r="AV40">
        <v>27.2</v>
      </c>
      <c r="AW40">
        <v>7501</v>
      </c>
      <c r="AX40" t="s">
        <v>826</v>
      </c>
      <c r="AY40" t="s">
        <v>827</v>
      </c>
      <c r="AZ40">
        <v>278.3</v>
      </c>
      <c r="BA40">
        <v>36.799999999999997</v>
      </c>
      <c r="BB40">
        <v>7.5</v>
      </c>
      <c r="BC40">
        <v>8.5</v>
      </c>
      <c r="BD40">
        <v>7</v>
      </c>
      <c r="BE40">
        <v>8.1999999999999993</v>
      </c>
    </row>
    <row r="41" spans="1:57" x14ac:dyDescent="0.25">
      <c r="A41" t="s">
        <v>828</v>
      </c>
      <c r="B41">
        <v>139</v>
      </c>
      <c r="C41" t="s">
        <v>390</v>
      </c>
      <c r="D41">
        <v>2</v>
      </c>
      <c r="E41" t="s">
        <v>146</v>
      </c>
      <c r="F41" t="s">
        <v>383</v>
      </c>
      <c r="G41">
        <v>1111</v>
      </c>
      <c r="H41">
        <v>0</v>
      </c>
      <c r="I41">
        <v>1</v>
      </c>
      <c r="J41">
        <v>0</v>
      </c>
      <c r="K41" t="s">
        <v>332</v>
      </c>
      <c r="L41" t="s">
        <v>597</v>
      </c>
      <c r="M41" t="s">
        <v>597</v>
      </c>
      <c r="P41" t="s">
        <v>191</v>
      </c>
      <c r="Q41">
        <v>6.3</v>
      </c>
      <c r="R41">
        <v>7.4320000000000004</v>
      </c>
      <c r="S41">
        <v>7.02</v>
      </c>
      <c r="T41">
        <v>5.74</v>
      </c>
      <c r="U41">
        <v>6.3</v>
      </c>
      <c r="V41">
        <v>90.8</v>
      </c>
      <c r="W41">
        <v>89.7</v>
      </c>
      <c r="X41">
        <v>1.2</v>
      </c>
      <c r="Y41">
        <v>9.1</v>
      </c>
      <c r="Z41">
        <v>0</v>
      </c>
      <c r="AB41">
        <v>4.0999999999999996</v>
      </c>
      <c r="AC41">
        <v>155</v>
      </c>
      <c r="AD41">
        <v>1</v>
      </c>
      <c r="AE41">
        <v>106</v>
      </c>
      <c r="AF41" t="s">
        <v>829</v>
      </c>
      <c r="AG41">
        <v>2.2000000000000002</v>
      </c>
      <c r="AI41">
        <v>12.9</v>
      </c>
      <c r="AJ41">
        <v>2.38</v>
      </c>
      <c r="AK41">
        <v>10.8</v>
      </c>
      <c r="AL41">
        <v>33.1</v>
      </c>
      <c r="AM41">
        <v>100.1</v>
      </c>
      <c r="AN41">
        <v>14.7</v>
      </c>
      <c r="AO41">
        <v>18.8</v>
      </c>
      <c r="AP41">
        <v>14</v>
      </c>
      <c r="AQ41">
        <v>9.4</v>
      </c>
      <c r="AR41">
        <v>1.02</v>
      </c>
      <c r="AS41">
        <v>35.1</v>
      </c>
      <c r="AT41">
        <v>73.2</v>
      </c>
      <c r="AU41">
        <v>82.3</v>
      </c>
      <c r="AV41">
        <v>31.3</v>
      </c>
      <c r="AW41">
        <v>7523</v>
      </c>
      <c r="AX41" t="s">
        <v>830</v>
      </c>
      <c r="AY41" t="s">
        <v>831</v>
      </c>
      <c r="AZ41">
        <v>311.89999999999998</v>
      </c>
      <c r="BA41">
        <v>37</v>
      </c>
      <c r="BB41">
        <v>9.4</v>
      </c>
      <c r="BC41">
        <v>10.8</v>
      </c>
      <c r="BD41">
        <v>9.3000000000000007</v>
      </c>
      <c r="BE41">
        <v>10.7</v>
      </c>
    </row>
    <row r="42" spans="1:57" x14ac:dyDescent="0.25">
      <c r="A42" t="s">
        <v>635</v>
      </c>
      <c r="B42">
        <v>122</v>
      </c>
      <c r="C42" t="s">
        <v>384</v>
      </c>
      <c r="D42">
        <v>2</v>
      </c>
      <c r="E42" t="s">
        <v>40</v>
      </c>
      <c r="F42" t="s">
        <v>383</v>
      </c>
      <c r="G42">
        <v>1340.4</v>
      </c>
      <c r="H42">
        <v>0</v>
      </c>
      <c r="I42">
        <v>1</v>
      </c>
      <c r="J42">
        <v>1</v>
      </c>
      <c r="K42" t="s">
        <v>355</v>
      </c>
      <c r="L42" t="s">
        <v>597</v>
      </c>
      <c r="M42" t="s">
        <v>597</v>
      </c>
      <c r="P42" t="s">
        <v>193</v>
      </c>
      <c r="Q42">
        <v>6</v>
      </c>
      <c r="R42">
        <v>7.4610000000000003</v>
      </c>
      <c r="S42">
        <v>5.81</v>
      </c>
      <c r="T42">
        <v>5.84</v>
      </c>
      <c r="U42">
        <v>6</v>
      </c>
      <c r="V42">
        <v>92.2</v>
      </c>
      <c r="W42">
        <v>91</v>
      </c>
      <c r="X42">
        <v>1.1000000000000001</v>
      </c>
      <c r="Y42">
        <v>7.7</v>
      </c>
      <c r="Z42">
        <v>0.2</v>
      </c>
      <c r="AB42">
        <v>4</v>
      </c>
      <c r="AC42">
        <v>226</v>
      </c>
      <c r="AD42">
        <v>0.56999999999999995</v>
      </c>
      <c r="AE42">
        <v>161</v>
      </c>
      <c r="AF42" t="s">
        <v>636</v>
      </c>
      <c r="AG42">
        <v>1.8</v>
      </c>
      <c r="AI42">
        <v>12.4</v>
      </c>
      <c r="AJ42">
        <v>2.2400000000000002</v>
      </c>
      <c r="AK42">
        <v>7.2</v>
      </c>
      <c r="AL42">
        <v>30.3</v>
      </c>
      <c r="AM42">
        <v>100.1</v>
      </c>
      <c r="AN42">
        <v>34.1</v>
      </c>
      <c r="AO42">
        <v>38.1</v>
      </c>
      <c r="AP42">
        <v>13.3</v>
      </c>
      <c r="AQ42">
        <v>6.5</v>
      </c>
      <c r="AR42">
        <v>0.59</v>
      </c>
      <c r="AS42">
        <v>31</v>
      </c>
      <c r="AT42">
        <v>64.900000000000006</v>
      </c>
      <c r="AU42">
        <v>72.599999999999994</v>
      </c>
      <c r="AV42">
        <v>29.6</v>
      </c>
      <c r="AW42">
        <v>7489</v>
      </c>
      <c r="AX42" t="s">
        <v>637</v>
      </c>
      <c r="AY42" t="s">
        <v>638</v>
      </c>
      <c r="AZ42">
        <v>463.7</v>
      </c>
      <c r="BA42">
        <v>34.6</v>
      </c>
      <c r="BB42">
        <v>6.5</v>
      </c>
      <c r="BC42">
        <v>7.2</v>
      </c>
      <c r="BD42">
        <v>6.4</v>
      </c>
      <c r="BE42">
        <v>7.2</v>
      </c>
    </row>
    <row r="43" spans="1:57" x14ac:dyDescent="0.25">
      <c r="A43" t="s">
        <v>759</v>
      </c>
      <c r="B43">
        <v>116</v>
      </c>
      <c r="C43" t="s">
        <v>387</v>
      </c>
      <c r="D43">
        <v>2</v>
      </c>
      <c r="E43" t="s">
        <v>142</v>
      </c>
      <c r="F43" t="s">
        <v>382</v>
      </c>
      <c r="G43">
        <v>1270</v>
      </c>
      <c r="H43">
        <v>1</v>
      </c>
      <c r="I43">
        <v>1</v>
      </c>
      <c r="J43">
        <v>0</v>
      </c>
      <c r="K43" t="s">
        <v>341</v>
      </c>
      <c r="L43" t="s">
        <v>597</v>
      </c>
      <c r="M43" t="s">
        <v>597</v>
      </c>
      <c r="P43" t="s">
        <v>195</v>
      </c>
      <c r="Q43">
        <v>6.1</v>
      </c>
      <c r="R43">
        <v>7.3609999999999998</v>
      </c>
      <c r="S43">
        <v>6.69</v>
      </c>
      <c r="T43">
        <v>12</v>
      </c>
      <c r="U43">
        <v>6.1</v>
      </c>
      <c r="V43">
        <v>98.8</v>
      </c>
      <c r="W43">
        <v>97.9</v>
      </c>
      <c r="X43">
        <v>0.6</v>
      </c>
      <c r="Y43">
        <v>1.2</v>
      </c>
      <c r="Z43">
        <v>0.3</v>
      </c>
      <c r="AB43">
        <v>4.8</v>
      </c>
      <c r="AC43">
        <v>137</v>
      </c>
      <c r="AD43">
        <v>1.19</v>
      </c>
      <c r="AE43">
        <v>97</v>
      </c>
      <c r="AF43" t="s">
        <v>760</v>
      </c>
      <c r="AG43">
        <v>4.2</v>
      </c>
      <c r="AI43">
        <v>13.6</v>
      </c>
      <c r="AJ43">
        <v>2.95</v>
      </c>
      <c r="AK43">
        <v>3</v>
      </c>
      <c r="AL43">
        <v>26.5</v>
      </c>
      <c r="AM43">
        <v>100.1</v>
      </c>
      <c r="AN43">
        <v>11.1</v>
      </c>
      <c r="AO43">
        <v>15.9</v>
      </c>
      <c r="AP43">
        <v>13.4</v>
      </c>
      <c r="AQ43">
        <v>2.4</v>
      </c>
      <c r="AR43">
        <v>1.1599999999999999</v>
      </c>
      <c r="AS43">
        <v>28.4</v>
      </c>
      <c r="AT43">
        <v>60.2</v>
      </c>
      <c r="AU43">
        <v>67.099999999999994</v>
      </c>
      <c r="AV43">
        <v>29.9</v>
      </c>
      <c r="AW43">
        <v>7432</v>
      </c>
      <c r="AX43" t="s">
        <v>761</v>
      </c>
      <c r="AY43" t="s">
        <v>762</v>
      </c>
      <c r="AZ43">
        <v>290.8</v>
      </c>
      <c r="BA43">
        <v>43.6</v>
      </c>
      <c r="BB43">
        <v>2.4</v>
      </c>
      <c r="BC43">
        <v>3</v>
      </c>
      <c r="BD43">
        <v>2.4</v>
      </c>
      <c r="BE43">
        <v>3</v>
      </c>
    </row>
    <row r="44" spans="1:57" x14ac:dyDescent="0.25">
      <c r="A44" t="s">
        <v>724</v>
      </c>
      <c r="B44">
        <v>137</v>
      </c>
      <c r="C44" t="s">
        <v>175</v>
      </c>
      <c r="D44">
        <v>2</v>
      </c>
      <c r="E44" t="s">
        <v>71</v>
      </c>
      <c r="F44" t="s">
        <v>382</v>
      </c>
      <c r="G44">
        <v>1275</v>
      </c>
      <c r="H44">
        <v>0</v>
      </c>
      <c r="I44">
        <v>0</v>
      </c>
      <c r="J44">
        <v>0</v>
      </c>
      <c r="K44" t="s">
        <v>344</v>
      </c>
      <c r="L44" t="s">
        <v>597</v>
      </c>
      <c r="M44" t="s">
        <v>597</v>
      </c>
      <c r="P44" t="s">
        <v>176</v>
      </c>
      <c r="Q44">
        <v>5.6</v>
      </c>
      <c r="R44">
        <v>7.31</v>
      </c>
      <c r="S44">
        <v>7.22</v>
      </c>
      <c r="T44">
        <v>13.7</v>
      </c>
      <c r="U44">
        <v>5.6</v>
      </c>
      <c r="V44">
        <v>100.3</v>
      </c>
      <c r="W44">
        <v>99.2</v>
      </c>
      <c r="X44">
        <v>0.9</v>
      </c>
      <c r="Y44">
        <v>-0.3</v>
      </c>
      <c r="Z44">
        <v>0.2</v>
      </c>
      <c r="AB44">
        <v>5.5</v>
      </c>
      <c r="AC44">
        <v>132</v>
      </c>
      <c r="AD44">
        <v>1.25</v>
      </c>
      <c r="AE44">
        <v>96</v>
      </c>
      <c r="AF44" t="s">
        <v>725</v>
      </c>
      <c r="AG44">
        <v>3.2</v>
      </c>
      <c r="AI44">
        <v>12.6</v>
      </c>
      <c r="AJ44">
        <v>3.18</v>
      </c>
      <c r="AK44">
        <v>1</v>
      </c>
      <c r="AL44">
        <v>24.9</v>
      </c>
      <c r="AM44">
        <v>100.1</v>
      </c>
      <c r="AN44">
        <v>8.1999999999999993</v>
      </c>
      <c r="AO44">
        <v>13.7</v>
      </c>
      <c r="AP44">
        <v>12.3</v>
      </c>
      <c r="AQ44">
        <v>0.5</v>
      </c>
      <c r="AR44">
        <v>1.19</v>
      </c>
      <c r="AS44">
        <v>27.2</v>
      </c>
      <c r="AT44">
        <v>58.8</v>
      </c>
      <c r="AU44">
        <v>64.7</v>
      </c>
      <c r="AV44">
        <v>27.5</v>
      </c>
      <c r="AW44">
        <v>7404</v>
      </c>
      <c r="AX44" t="s">
        <v>611</v>
      </c>
      <c r="AY44" t="s">
        <v>726</v>
      </c>
      <c r="AZ44">
        <v>284.60000000000002</v>
      </c>
      <c r="BA44">
        <v>49</v>
      </c>
      <c r="BB44">
        <v>0.5</v>
      </c>
      <c r="BC44">
        <v>1</v>
      </c>
      <c r="BD44">
        <v>0.5</v>
      </c>
      <c r="BE44">
        <v>1</v>
      </c>
    </row>
    <row r="45" spans="1:57" x14ac:dyDescent="0.25">
      <c r="A45" t="s">
        <v>851</v>
      </c>
      <c r="B45">
        <v>130</v>
      </c>
      <c r="C45" t="s">
        <v>145</v>
      </c>
      <c r="D45">
        <v>2</v>
      </c>
      <c r="E45" t="s">
        <v>146</v>
      </c>
      <c r="F45" t="s">
        <v>383</v>
      </c>
      <c r="G45">
        <v>902</v>
      </c>
      <c r="H45">
        <v>0</v>
      </c>
      <c r="I45">
        <v>1</v>
      </c>
      <c r="J45">
        <v>0</v>
      </c>
      <c r="K45" t="s">
        <v>363</v>
      </c>
      <c r="L45" t="s">
        <v>597</v>
      </c>
      <c r="M45" t="s">
        <v>597</v>
      </c>
      <c r="P45" t="s">
        <v>147</v>
      </c>
      <c r="Q45">
        <v>8.1</v>
      </c>
      <c r="R45">
        <v>7.2309999999999999</v>
      </c>
      <c r="S45">
        <v>9.99</v>
      </c>
      <c r="T45">
        <v>2.84</v>
      </c>
      <c r="U45">
        <v>8.1</v>
      </c>
      <c r="V45">
        <v>39.799999999999997</v>
      </c>
      <c r="W45">
        <v>39.299999999999997</v>
      </c>
      <c r="X45">
        <v>0.7</v>
      </c>
      <c r="Y45">
        <v>59.4</v>
      </c>
      <c r="Z45">
        <v>0.6</v>
      </c>
      <c r="AB45">
        <v>5.0999999999999996</v>
      </c>
      <c r="AC45">
        <v>132</v>
      </c>
      <c r="AD45">
        <v>1.26</v>
      </c>
      <c r="AE45">
        <v>93</v>
      </c>
      <c r="AF45" t="s">
        <v>852</v>
      </c>
      <c r="AG45">
        <v>2</v>
      </c>
      <c r="AI45">
        <v>7.2</v>
      </c>
      <c r="AJ45">
        <v>3.34</v>
      </c>
      <c r="AK45">
        <v>3.9</v>
      </c>
      <c r="AL45">
        <v>24.7</v>
      </c>
      <c r="AM45">
        <v>100.1</v>
      </c>
      <c r="AN45">
        <v>7.8</v>
      </c>
      <c r="AO45">
        <v>12.9</v>
      </c>
      <c r="AP45">
        <v>17.8</v>
      </c>
      <c r="AQ45">
        <v>1.8</v>
      </c>
      <c r="AR45">
        <v>1.1499999999999999</v>
      </c>
      <c r="AS45">
        <v>31.4</v>
      </c>
      <c r="AT45">
        <v>67.099999999999994</v>
      </c>
      <c r="AU45">
        <v>75.599999999999994</v>
      </c>
      <c r="AV45">
        <v>39.799999999999997</v>
      </c>
      <c r="AW45">
        <v>7415</v>
      </c>
      <c r="AX45" t="s">
        <v>853</v>
      </c>
      <c r="AY45" t="s">
        <v>854</v>
      </c>
      <c r="AZ45">
        <v>272.60000000000002</v>
      </c>
      <c r="BA45">
        <v>58.8</v>
      </c>
      <c r="BB45">
        <v>1.8</v>
      </c>
      <c r="BC45">
        <v>3.9</v>
      </c>
      <c r="BD45">
        <v>0.3</v>
      </c>
      <c r="BE45">
        <v>3.3</v>
      </c>
    </row>
    <row r="46" spans="1:57" x14ac:dyDescent="0.25">
      <c r="A46" t="s">
        <v>643</v>
      </c>
      <c r="B46">
        <v>150</v>
      </c>
      <c r="C46" t="s">
        <v>36</v>
      </c>
      <c r="D46">
        <v>3</v>
      </c>
      <c r="E46" t="s">
        <v>40</v>
      </c>
      <c r="F46" t="s">
        <v>382</v>
      </c>
      <c r="G46">
        <v>725</v>
      </c>
      <c r="H46">
        <v>0</v>
      </c>
      <c r="I46">
        <v>1</v>
      </c>
      <c r="J46">
        <v>1</v>
      </c>
      <c r="K46" t="s">
        <v>554</v>
      </c>
      <c r="L46" t="s">
        <v>597</v>
      </c>
      <c r="M46" t="s">
        <v>597</v>
      </c>
      <c r="P46" t="s">
        <v>38</v>
      </c>
      <c r="Q46">
        <v>5.7</v>
      </c>
      <c r="R46">
        <v>7.2889999999999997</v>
      </c>
      <c r="S46">
        <v>6.58</v>
      </c>
      <c r="T46">
        <v>41.2</v>
      </c>
      <c r="U46">
        <v>5.7</v>
      </c>
      <c r="V46">
        <v>101.4</v>
      </c>
      <c r="W46">
        <v>100.5</v>
      </c>
      <c r="X46">
        <v>0.8</v>
      </c>
      <c r="Y46">
        <v>-1.4</v>
      </c>
      <c r="Z46">
        <v>0.1</v>
      </c>
      <c r="AB46">
        <v>6.1</v>
      </c>
      <c r="AC46">
        <v>125</v>
      </c>
      <c r="AD46">
        <v>1.36</v>
      </c>
      <c r="AE46">
        <v>90</v>
      </c>
      <c r="AF46" t="s">
        <v>644</v>
      </c>
      <c r="AG46">
        <v>4.7</v>
      </c>
      <c r="AI46">
        <v>13.7</v>
      </c>
      <c r="AJ46">
        <v>3.17</v>
      </c>
      <c r="AK46">
        <v>-3</v>
      </c>
      <c r="AL46">
        <v>21.9</v>
      </c>
      <c r="AM46">
        <v>100.7</v>
      </c>
      <c r="AN46">
        <v>11.8</v>
      </c>
      <c r="AO46">
        <v>17.899999999999999</v>
      </c>
      <c r="AP46">
        <v>12.8</v>
      </c>
      <c r="AQ46">
        <v>-3</v>
      </c>
      <c r="AR46">
        <v>1.28</v>
      </c>
      <c r="AS46">
        <v>23.6</v>
      </c>
      <c r="AT46">
        <v>51.1</v>
      </c>
      <c r="AU46">
        <v>56.4</v>
      </c>
      <c r="AV46">
        <v>28.4</v>
      </c>
      <c r="AW46">
        <v>7351</v>
      </c>
      <c r="AX46" t="s">
        <v>636</v>
      </c>
      <c r="AY46" t="s">
        <v>645</v>
      </c>
      <c r="BA46">
        <v>51.5</v>
      </c>
      <c r="BB46">
        <v>-3</v>
      </c>
      <c r="BC46">
        <v>-3</v>
      </c>
      <c r="BD46">
        <v>-3</v>
      </c>
      <c r="BE46">
        <v>-3</v>
      </c>
    </row>
    <row r="47" spans="1:57" x14ac:dyDescent="0.25">
      <c r="A47" t="s">
        <v>751</v>
      </c>
      <c r="B47">
        <v>149</v>
      </c>
      <c r="C47" t="s">
        <v>586</v>
      </c>
      <c r="D47">
        <v>3</v>
      </c>
      <c r="E47" t="s">
        <v>142</v>
      </c>
      <c r="F47" t="s">
        <v>383</v>
      </c>
      <c r="G47">
        <v>847</v>
      </c>
      <c r="H47">
        <v>1</v>
      </c>
      <c r="I47">
        <v>1</v>
      </c>
      <c r="J47">
        <v>0</v>
      </c>
      <c r="K47" t="s">
        <v>545</v>
      </c>
      <c r="L47" t="s">
        <v>597</v>
      </c>
      <c r="M47" t="s">
        <v>597</v>
      </c>
      <c r="P47" t="s">
        <v>546</v>
      </c>
      <c r="Q47">
        <v>5.8</v>
      </c>
      <c r="R47">
        <v>7.383</v>
      </c>
      <c r="S47">
        <v>7.51</v>
      </c>
      <c r="T47">
        <v>6.72</v>
      </c>
      <c r="U47">
        <v>5.8</v>
      </c>
      <c r="V47">
        <v>93.3</v>
      </c>
      <c r="W47">
        <v>91.9</v>
      </c>
      <c r="X47">
        <v>1.4</v>
      </c>
      <c r="Y47">
        <v>6.6</v>
      </c>
      <c r="Z47">
        <v>0.1</v>
      </c>
      <c r="AB47">
        <v>4.5999999999999996</v>
      </c>
      <c r="AC47">
        <v>143</v>
      </c>
      <c r="AD47">
        <v>1.1000000000000001</v>
      </c>
      <c r="AE47">
        <v>99</v>
      </c>
      <c r="AF47" t="s">
        <v>752</v>
      </c>
      <c r="AG47">
        <v>1.9</v>
      </c>
      <c r="AI47">
        <v>12.1</v>
      </c>
      <c r="AJ47">
        <v>2.46</v>
      </c>
      <c r="AK47">
        <v>8.4</v>
      </c>
      <c r="AL47">
        <v>31</v>
      </c>
      <c r="AM47">
        <v>100.7</v>
      </c>
      <c r="AN47">
        <v>11.1</v>
      </c>
      <c r="AO47">
        <v>15.7</v>
      </c>
      <c r="AP47">
        <v>12.8</v>
      </c>
      <c r="AQ47">
        <v>7.2</v>
      </c>
      <c r="AR47">
        <v>1.0900000000000001</v>
      </c>
      <c r="AS47">
        <v>33.5</v>
      </c>
      <c r="AT47">
        <v>71.099999999999994</v>
      </c>
      <c r="AU47">
        <v>78.900000000000006</v>
      </c>
      <c r="AV47">
        <v>28.7</v>
      </c>
      <c r="AW47">
        <v>7495</v>
      </c>
      <c r="AX47" t="s">
        <v>753</v>
      </c>
      <c r="AY47" t="s">
        <v>754</v>
      </c>
      <c r="AZ47">
        <v>291.2</v>
      </c>
      <c r="BA47">
        <v>41.4</v>
      </c>
      <c r="BB47">
        <v>7.2</v>
      </c>
      <c r="BC47">
        <v>8.4</v>
      </c>
      <c r="BD47">
        <v>7.1</v>
      </c>
      <c r="BE47">
        <v>8.3000000000000007</v>
      </c>
    </row>
    <row r="48" spans="1:57" x14ac:dyDescent="0.25">
      <c r="A48" t="s">
        <v>659</v>
      </c>
      <c r="B48">
        <v>143</v>
      </c>
      <c r="C48" t="s">
        <v>39</v>
      </c>
      <c r="D48">
        <v>3</v>
      </c>
      <c r="E48" t="s">
        <v>40</v>
      </c>
      <c r="F48" t="s">
        <v>382</v>
      </c>
      <c r="G48">
        <v>794</v>
      </c>
      <c r="H48">
        <v>0</v>
      </c>
      <c r="I48">
        <v>1</v>
      </c>
      <c r="J48">
        <v>1</v>
      </c>
      <c r="K48" t="s">
        <v>561</v>
      </c>
      <c r="L48" t="s">
        <v>597</v>
      </c>
      <c r="M48" t="s">
        <v>597</v>
      </c>
      <c r="P48" t="s">
        <v>41</v>
      </c>
      <c r="Q48">
        <v>5.2</v>
      </c>
      <c r="R48">
        <v>7.3470000000000004</v>
      </c>
      <c r="S48">
        <v>7.34</v>
      </c>
      <c r="T48">
        <v>5.51</v>
      </c>
      <c r="U48">
        <v>5.2</v>
      </c>
      <c r="V48">
        <v>86.9</v>
      </c>
      <c r="W48">
        <v>85.4</v>
      </c>
      <c r="X48">
        <v>1.5</v>
      </c>
      <c r="Y48">
        <v>12.9</v>
      </c>
      <c r="Z48">
        <v>0.2</v>
      </c>
      <c r="AB48">
        <v>5.2</v>
      </c>
      <c r="AC48">
        <v>130</v>
      </c>
      <c r="AD48">
        <v>1.32</v>
      </c>
      <c r="AE48">
        <v>89</v>
      </c>
      <c r="AF48" t="s">
        <v>660</v>
      </c>
      <c r="AG48">
        <v>2.1</v>
      </c>
      <c r="AI48">
        <v>10.1</v>
      </c>
      <c r="AJ48">
        <v>2.69</v>
      </c>
      <c r="AK48">
        <v>4.5</v>
      </c>
      <c r="AL48">
        <v>27.6</v>
      </c>
      <c r="AM48">
        <v>100.7</v>
      </c>
      <c r="AN48">
        <v>11</v>
      </c>
      <c r="AO48">
        <v>16.2</v>
      </c>
      <c r="AP48">
        <v>11.5</v>
      </c>
      <c r="AQ48">
        <v>3.8</v>
      </c>
      <c r="AR48">
        <v>1.28</v>
      </c>
      <c r="AS48">
        <v>30.1</v>
      </c>
      <c r="AT48">
        <v>65.2</v>
      </c>
      <c r="AU48">
        <v>71.3</v>
      </c>
      <c r="AV48">
        <v>25.8</v>
      </c>
      <c r="AW48">
        <v>7450</v>
      </c>
      <c r="AX48" t="s">
        <v>611</v>
      </c>
      <c r="AY48" t="s">
        <v>661</v>
      </c>
      <c r="AZ48">
        <v>318.10000000000002</v>
      </c>
      <c r="BA48">
        <v>45</v>
      </c>
      <c r="BB48">
        <v>3.8</v>
      </c>
      <c r="BC48">
        <v>4.5</v>
      </c>
      <c r="BD48">
        <v>3.6</v>
      </c>
      <c r="BE48">
        <v>4.3</v>
      </c>
    </row>
    <row r="49" spans="1:57" x14ac:dyDescent="0.25">
      <c r="A49" t="s">
        <v>731</v>
      </c>
      <c r="B49">
        <v>153</v>
      </c>
      <c r="C49" t="s">
        <v>584</v>
      </c>
      <c r="D49">
        <v>3</v>
      </c>
      <c r="E49" t="s">
        <v>142</v>
      </c>
      <c r="F49" t="s">
        <v>383</v>
      </c>
      <c r="G49">
        <v>777</v>
      </c>
      <c r="H49">
        <v>1</v>
      </c>
      <c r="I49">
        <v>1</v>
      </c>
      <c r="J49">
        <v>0</v>
      </c>
      <c r="K49" t="s">
        <v>576</v>
      </c>
      <c r="L49" t="s">
        <v>597</v>
      </c>
      <c r="M49" t="s">
        <v>597</v>
      </c>
      <c r="P49" t="s">
        <v>577</v>
      </c>
      <c r="Q49">
        <v>5.2</v>
      </c>
      <c r="R49">
        <v>7.4749999999999996</v>
      </c>
      <c r="S49">
        <v>5.01</v>
      </c>
      <c r="T49">
        <v>19.5</v>
      </c>
      <c r="U49">
        <v>5.2</v>
      </c>
      <c r="V49">
        <v>100.9</v>
      </c>
      <c r="W49">
        <v>99.3</v>
      </c>
      <c r="X49">
        <v>1.1000000000000001</v>
      </c>
      <c r="Y49">
        <v>-0.9</v>
      </c>
      <c r="Z49">
        <v>0.5</v>
      </c>
      <c r="AB49">
        <v>5.4</v>
      </c>
      <c r="AC49">
        <v>145</v>
      </c>
      <c r="AD49">
        <v>0.99</v>
      </c>
      <c r="AE49">
        <v>100</v>
      </c>
      <c r="AF49" t="s">
        <v>696</v>
      </c>
      <c r="AG49">
        <v>5.7</v>
      </c>
      <c r="AI49">
        <v>11.8</v>
      </c>
      <c r="AJ49">
        <v>2.58</v>
      </c>
      <c r="AK49">
        <v>4.0999999999999996</v>
      </c>
      <c r="AL49">
        <v>27.9</v>
      </c>
      <c r="AM49">
        <v>100.7</v>
      </c>
      <c r="AN49">
        <v>17.3</v>
      </c>
      <c r="AO49">
        <v>22.7</v>
      </c>
      <c r="AP49">
        <v>11.4</v>
      </c>
      <c r="AQ49">
        <v>3.8</v>
      </c>
      <c r="AR49">
        <v>1.03</v>
      </c>
      <c r="AS49">
        <v>27.7</v>
      </c>
      <c r="AT49">
        <v>58.6</v>
      </c>
      <c r="AU49">
        <v>64.599999999999994</v>
      </c>
      <c r="AV49">
        <v>25.5</v>
      </c>
      <c r="AW49">
        <v>7455</v>
      </c>
      <c r="AX49" t="s">
        <v>732</v>
      </c>
      <c r="AY49" t="s">
        <v>733</v>
      </c>
      <c r="AZ49">
        <v>292</v>
      </c>
      <c r="BA49">
        <v>33.5</v>
      </c>
      <c r="BB49">
        <v>3.8</v>
      </c>
      <c r="BC49">
        <v>4.0999999999999996</v>
      </c>
      <c r="BD49">
        <v>3.8</v>
      </c>
      <c r="BE49">
        <v>4.0999999999999996</v>
      </c>
    </row>
    <row r="50" spans="1:57" x14ac:dyDescent="0.25">
      <c r="A50" t="s">
        <v>639</v>
      </c>
      <c r="B50">
        <v>145</v>
      </c>
      <c r="C50" t="s">
        <v>45</v>
      </c>
      <c r="D50">
        <v>3</v>
      </c>
      <c r="E50" t="s">
        <v>40</v>
      </c>
      <c r="F50" t="s">
        <v>383</v>
      </c>
      <c r="G50">
        <v>949.7</v>
      </c>
      <c r="H50">
        <v>0</v>
      </c>
      <c r="I50">
        <v>1</v>
      </c>
      <c r="J50">
        <v>1</v>
      </c>
      <c r="K50" t="s">
        <v>574</v>
      </c>
      <c r="L50" t="s">
        <v>597</v>
      </c>
      <c r="M50" t="s">
        <v>597</v>
      </c>
      <c r="P50" t="s">
        <v>151</v>
      </c>
      <c r="Q50">
        <v>5.2</v>
      </c>
      <c r="R50">
        <v>7.4080000000000004</v>
      </c>
      <c r="S50">
        <v>6.95</v>
      </c>
      <c r="T50">
        <v>5.63</v>
      </c>
      <c r="U50">
        <v>5.2</v>
      </c>
      <c r="V50">
        <v>89.9</v>
      </c>
      <c r="W50">
        <v>88.5</v>
      </c>
      <c r="X50">
        <v>1.4</v>
      </c>
      <c r="Y50">
        <v>9.9</v>
      </c>
      <c r="Z50">
        <v>0.2</v>
      </c>
      <c r="AB50">
        <v>4.9000000000000004</v>
      </c>
      <c r="AC50">
        <v>143</v>
      </c>
      <c r="AD50">
        <v>1.1000000000000001</v>
      </c>
      <c r="AE50">
        <v>96</v>
      </c>
      <c r="AF50" t="s">
        <v>640</v>
      </c>
      <c r="AG50">
        <v>1.5</v>
      </c>
      <c r="AI50">
        <v>10.5</v>
      </c>
      <c r="AJ50">
        <v>2.4300000000000002</v>
      </c>
      <c r="AK50">
        <v>8.1999999999999993</v>
      </c>
      <c r="AL50">
        <v>30.9</v>
      </c>
      <c r="AM50">
        <v>100.7</v>
      </c>
      <c r="AN50">
        <v>13.8</v>
      </c>
      <c r="AO50">
        <v>18.7</v>
      </c>
      <c r="AP50">
        <v>11.5</v>
      </c>
      <c r="AQ50">
        <v>7.3</v>
      </c>
      <c r="AR50">
        <v>1.1000000000000001</v>
      </c>
      <c r="AS50">
        <v>32.9</v>
      </c>
      <c r="AT50">
        <v>70.3</v>
      </c>
      <c r="AU50">
        <v>77.2</v>
      </c>
      <c r="AV50">
        <v>25.8</v>
      </c>
      <c r="AW50">
        <v>7497</v>
      </c>
      <c r="AX50" t="s">
        <v>641</v>
      </c>
      <c r="AY50" t="s">
        <v>642</v>
      </c>
      <c r="AZ50">
        <v>307.8</v>
      </c>
      <c r="BA50">
        <v>39.1</v>
      </c>
      <c r="BB50">
        <v>7.3</v>
      </c>
      <c r="BC50">
        <v>8.1999999999999993</v>
      </c>
      <c r="BD50">
        <v>7.1</v>
      </c>
      <c r="BE50">
        <v>8.1</v>
      </c>
    </row>
    <row r="51" spans="1:57" x14ac:dyDescent="0.25">
      <c r="A51" t="s">
        <v>707</v>
      </c>
      <c r="B51">
        <v>164</v>
      </c>
      <c r="C51" t="s">
        <v>51</v>
      </c>
      <c r="D51">
        <v>3</v>
      </c>
      <c r="E51" t="s">
        <v>71</v>
      </c>
      <c r="F51" t="s">
        <v>382</v>
      </c>
      <c r="G51">
        <v>993</v>
      </c>
      <c r="H51">
        <v>0</v>
      </c>
      <c r="I51">
        <v>0</v>
      </c>
      <c r="J51">
        <v>0</v>
      </c>
      <c r="K51" t="s">
        <v>560</v>
      </c>
      <c r="L51" t="s">
        <v>597</v>
      </c>
      <c r="M51" t="s">
        <v>597</v>
      </c>
      <c r="P51" t="s">
        <v>52</v>
      </c>
      <c r="Q51">
        <v>5.7</v>
      </c>
      <c r="R51">
        <v>7.3860000000000001</v>
      </c>
      <c r="S51">
        <v>7.4</v>
      </c>
      <c r="T51">
        <v>19.600000000000001</v>
      </c>
      <c r="U51">
        <v>5.7</v>
      </c>
      <c r="V51">
        <v>100.9</v>
      </c>
      <c r="W51">
        <v>100</v>
      </c>
      <c r="X51">
        <v>1</v>
      </c>
      <c r="Y51">
        <v>-0.9</v>
      </c>
      <c r="Z51">
        <v>-0.1</v>
      </c>
      <c r="AB51">
        <v>4.7</v>
      </c>
      <c r="AC51">
        <v>146</v>
      </c>
      <c r="AD51">
        <v>1.1399999999999999</v>
      </c>
      <c r="AE51">
        <v>101</v>
      </c>
      <c r="AF51" t="s">
        <v>708</v>
      </c>
      <c r="AG51">
        <v>1.7</v>
      </c>
      <c r="AI51">
        <v>13.2</v>
      </c>
      <c r="AJ51">
        <v>2.89</v>
      </c>
      <c r="AK51">
        <v>8.3000000000000007</v>
      </c>
      <c r="AL51">
        <v>31</v>
      </c>
      <c r="AM51">
        <v>100.7</v>
      </c>
      <c r="AN51">
        <v>11.9</v>
      </c>
      <c r="AO51">
        <v>16.600000000000001</v>
      </c>
      <c r="AP51">
        <v>12.7</v>
      </c>
      <c r="AQ51">
        <v>7.1</v>
      </c>
      <c r="AR51">
        <v>1.1399999999999999</v>
      </c>
      <c r="AS51">
        <v>33.299999999999997</v>
      </c>
      <c r="AT51">
        <v>70.599999999999994</v>
      </c>
      <c r="AU51">
        <v>78.400000000000006</v>
      </c>
      <c r="AV51">
        <v>28.2</v>
      </c>
      <c r="AW51">
        <v>7494</v>
      </c>
      <c r="AX51" t="s">
        <v>709</v>
      </c>
      <c r="AY51" t="s">
        <v>710</v>
      </c>
      <c r="AZ51">
        <v>300.39999999999998</v>
      </c>
      <c r="BA51">
        <v>41.1</v>
      </c>
      <c r="BB51">
        <v>7.1</v>
      </c>
      <c r="BC51">
        <v>8.3000000000000007</v>
      </c>
      <c r="BD51">
        <v>7.1</v>
      </c>
      <c r="BE51">
        <v>8.3000000000000007</v>
      </c>
    </row>
    <row r="52" spans="1:57" x14ac:dyDescent="0.25">
      <c r="A52" t="s">
        <v>670</v>
      </c>
      <c r="B52">
        <v>148</v>
      </c>
      <c r="C52" t="s">
        <v>585</v>
      </c>
      <c r="D52">
        <v>3</v>
      </c>
      <c r="E52" t="s">
        <v>40</v>
      </c>
      <c r="F52" t="s">
        <v>383</v>
      </c>
      <c r="G52">
        <v>1159</v>
      </c>
      <c r="H52">
        <v>0</v>
      </c>
      <c r="I52">
        <v>1</v>
      </c>
      <c r="J52">
        <v>1</v>
      </c>
      <c r="K52" t="s">
        <v>547</v>
      </c>
      <c r="L52" t="s">
        <v>597</v>
      </c>
      <c r="M52" t="s">
        <v>597</v>
      </c>
      <c r="P52" t="s">
        <v>548</v>
      </c>
      <c r="Q52">
        <v>5.7</v>
      </c>
      <c r="R52">
        <v>7.3970000000000002</v>
      </c>
      <c r="S52">
        <v>7.43</v>
      </c>
      <c r="T52">
        <v>6.87</v>
      </c>
      <c r="U52">
        <v>5.7</v>
      </c>
      <c r="V52">
        <v>93.9</v>
      </c>
      <c r="W52">
        <v>92.7</v>
      </c>
      <c r="X52">
        <v>1.3</v>
      </c>
      <c r="Y52">
        <v>6</v>
      </c>
      <c r="Z52">
        <v>0</v>
      </c>
      <c r="AB52">
        <v>4.3</v>
      </c>
      <c r="AC52">
        <v>136</v>
      </c>
      <c r="AD52">
        <v>1.36</v>
      </c>
      <c r="AE52">
        <v>94</v>
      </c>
      <c r="AF52" t="s">
        <v>671</v>
      </c>
      <c r="AG52">
        <v>1.4</v>
      </c>
      <c r="AI52">
        <v>12.1</v>
      </c>
      <c r="AJ52">
        <v>2.42</v>
      </c>
      <c r="AK52">
        <v>9.4</v>
      </c>
      <c r="AL52">
        <v>31.9</v>
      </c>
      <c r="AM52">
        <v>100.7</v>
      </c>
      <c r="AN52">
        <v>8.3000000000000007</v>
      </c>
      <c r="AO52">
        <v>12.6</v>
      </c>
      <c r="AP52">
        <v>12.7</v>
      </c>
      <c r="AQ52">
        <v>8.1999999999999993</v>
      </c>
      <c r="AR52">
        <v>1.35</v>
      </c>
      <c r="AS52">
        <v>34.200000000000003</v>
      </c>
      <c r="AT52">
        <v>72.599999999999994</v>
      </c>
      <c r="AU52">
        <v>80.5</v>
      </c>
      <c r="AV52">
        <v>28.3</v>
      </c>
      <c r="AW52">
        <v>7507</v>
      </c>
      <c r="AX52" t="s">
        <v>672</v>
      </c>
      <c r="AY52" t="s">
        <v>673</v>
      </c>
      <c r="AZ52">
        <v>289.39999999999998</v>
      </c>
      <c r="BA52">
        <v>40.1</v>
      </c>
      <c r="BB52">
        <v>8.1999999999999993</v>
      </c>
      <c r="BC52">
        <v>9.4</v>
      </c>
      <c r="BD52">
        <v>8</v>
      </c>
      <c r="BE52">
        <v>9.3000000000000007</v>
      </c>
    </row>
    <row r="53" spans="1:57" x14ac:dyDescent="0.25">
      <c r="A53" t="s">
        <v>666</v>
      </c>
      <c r="B53">
        <v>146</v>
      </c>
      <c r="C53" t="s">
        <v>53</v>
      </c>
      <c r="D53">
        <v>3</v>
      </c>
      <c r="E53" t="s">
        <v>40</v>
      </c>
      <c r="F53" t="s">
        <v>382</v>
      </c>
      <c r="G53">
        <v>1104</v>
      </c>
      <c r="H53">
        <v>0</v>
      </c>
      <c r="I53">
        <v>1</v>
      </c>
      <c r="J53">
        <v>1</v>
      </c>
      <c r="K53" t="s">
        <v>543</v>
      </c>
      <c r="L53" t="s">
        <v>597</v>
      </c>
      <c r="M53" t="s">
        <v>597</v>
      </c>
      <c r="P53" t="s">
        <v>55</v>
      </c>
      <c r="Q53">
        <v>6.1</v>
      </c>
      <c r="R53">
        <v>7.4850000000000003</v>
      </c>
      <c r="S53">
        <v>5.74</v>
      </c>
      <c r="T53">
        <v>7.12</v>
      </c>
      <c r="U53">
        <v>6.1</v>
      </c>
      <c r="V53">
        <v>95.4</v>
      </c>
      <c r="W53">
        <v>94.4</v>
      </c>
      <c r="X53">
        <v>1.1000000000000001</v>
      </c>
      <c r="Y53">
        <v>4.5999999999999996</v>
      </c>
      <c r="Z53">
        <v>-0.1</v>
      </c>
      <c r="AB53">
        <v>5</v>
      </c>
      <c r="AC53">
        <v>137</v>
      </c>
      <c r="AD53">
        <v>1.3</v>
      </c>
      <c r="AE53">
        <v>95</v>
      </c>
      <c r="AF53" t="s">
        <v>667</v>
      </c>
      <c r="AG53">
        <v>1.6</v>
      </c>
      <c r="AI53">
        <v>13.1</v>
      </c>
      <c r="AJ53">
        <v>2.19</v>
      </c>
      <c r="AK53">
        <v>9</v>
      </c>
      <c r="AL53">
        <v>31.9</v>
      </c>
      <c r="AM53">
        <v>100.7</v>
      </c>
      <c r="AN53">
        <v>9.4</v>
      </c>
      <c r="AO53">
        <v>14.3</v>
      </c>
      <c r="AP53">
        <v>13.6</v>
      </c>
      <c r="AQ53">
        <v>8.1</v>
      </c>
      <c r="AR53">
        <v>1.36</v>
      </c>
      <c r="AS53">
        <v>32.4</v>
      </c>
      <c r="AT53">
        <v>67.3</v>
      </c>
      <c r="AU53">
        <v>75.599999999999994</v>
      </c>
      <c r="AV53">
        <v>30.3</v>
      </c>
      <c r="AW53">
        <v>7509</v>
      </c>
      <c r="AX53" t="s">
        <v>668</v>
      </c>
      <c r="AY53" t="s">
        <v>669</v>
      </c>
      <c r="AZ53">
        <v>287</v>
      </c>
      <c r="BA53">
        <v>32.799999999999997</v>
      </c>
      <c r="BB53">
        <v>8.1</v>
      </c>
      <c r="BC53">
        <v>9</v>
      </c>
      <c r="BD53">
        <v>8.1</v>
      </c>
      <c r="BE53">
        <v>8.9</v>
      </c>
    </row>
    <row r="54" spans="1:57" x14ac:dyDescent="0.25">
      <c r="A54" t="s">
        <v>767</v>
      </c>
      <c r="B54">
        <v>152</v>
      </c>
      <c r="C54" t="s">
        <v>56</v>
      </c>
      <c r="D54">
        <v>3</v>
      </c>
      <c r="E54" t="s">
        <v>142</v>
      </c>
      <c r="F54" t="s">
        <v>382</v>
      </c>
      <c r="G54">
        <v>996</v>
      </c>
      <c r="H54">
        <v>1</v>
      </c>
      <c r="I54">
        <v>1</v>
      </c>
      <c r="J54">
        <v>0</v>
      </c>
      <c r="K54" t="s">
        <v>557</v>
      </c>
      <c r="L54" t="s">
        <v>597</v>
      </c>
      <c r="M54" t="s">
        <v>597</v>
      </c>
      <c r="P54" t="s">
        <v>57</v>
      </c>
      <c r="Q54">
        <v>5.6</v>
      </c>
      <c r="R54">
        <v>7.4050000000000002</v>
      </c>
      <c r="S54">
        <v>5.91</v>
      </c>
      <c r="T54">
        <v>8.89</v>
      </c>
      <c r="U54">
        <v>5.6</v>
      </c>
      <c r="V54">
        <v>98.4</v>
      </c>
      <c r="W54">
        <v>97.1</v>
      </c>
      <c r="X54">
        <v>1.3</v>
      </c>
      <c r="Y54">
        <v>1.6</v>
      </c>
      <c r="Z54">
        <v>0</v>
      </c>
      <c r="AB54">
        <v>5.8</v>
      </c>
      <c r="AC54">
        <v>148</v>
      </c>
      <c r="AD54">
        <v>1.25</v>
      </c>
      <c r="AE54">
        <v>102</v>
      </c>
      <c r="AF54" t="s">
        <v>768</v>
      </c>
      <c r="AG54">
        <v>4.4000000000000004</v>
      </c>
      <c r="AI54">
        <v>12.4</v>
      </c>
      <c r="AJ54">
        <v>2.8</v>
      </c>
      <c r="AK54">
        <v>3</v>
      </c>
      <c r="AL54">
        <v>26.8</v>
      </c>
      <c r="AM54">
        <v>100.7</v>
      </c>
      <c r="AN54">
        <v>18.8</v>
      </c>
      <c r="AO54">
        <v>24.5</v>
      </c>
      <c r="AP54">
        <v>12.4</v>
      </c>
      <c r="AQ54">
        <v>2.7</v>
      </c>
      <c r="AR54">
        <v>1.25</v>
      </c>
      <c r="AS54">
        <v>27.8</v>
      </c>
      <c r="AT54">
        <v>58.9</v>
      </c>
      <c r="AU54">
        <v>65.3</v>
      </c>
      <c r="AV54">
        <v>27.7</v>
      </c>
      <c r="AW54">
        <v>7438</v>
      </c>
      <c r="AX54" t="s">
        <v>769</v>
      </c>
      <c r="AY54" t="s">
        <v>770</v>
      </c>
      <c r="AZ54">
        <v>306.3</v>
      </c>
      <c r="BA54">
        <v>39.299999999999997</v>
      </c>
      <c r="BB54">
        <v>2.7</v>
      </c>
      <c r="BC54">
        <v>3</v>
      </c>
      <c r="BD54">
        <v>2.7</v>
      </c>
      <c r="BE54">
        <v>3</v>
      </c>
    </row>
    <row r="55" spans="1:57" x14ac:dyDescent="0.25">
      <c r="A55" t="s">
        <v>646</v>
      </c>
      <c r="B55">
        <v>155</v>
      </c>
      <c r="C55" t="s">
        <v>80</v>
      </c>
      <c r="D55">
        <v>3</v>
      </c>
      <c r="E55" t="s">
        <v>40</v>
      </c>
      <c r="F55" t="s">
        <v>383</v>
      </c>
      <c r="G55">
        <v>885</v>
      </c>
      <c r="H55">
        <v>0</v>
      </c>
      <c r="I55">
        <v>1</v>
      </c>
      <c r="J55">
        <v>1</v>
      </c>
      <c r="K55" t="s">
        <v>565</v>
      </c>
      <c r="L55" t="s">
        <v>597</v>
      </c>
      <c r="M55" t="s">
        <v>597</v>
      </c>
      <c r="P55" t="s">
        <v>163</v>
      </c>
      <c r="Q55">
        <v>5.2</v>
      </c>
      <c r="R55">
        <v>7.375</v>
      </c>
      <c r="S55">
        <v>5.76</v>
      </c>
      <c r="T55">
        <v>6.55</v>
      </c>
      <c r="U55">
        <v>5.2</v>
      </c>
      <c r="V55">
        <v>93.8</v>
      </c>
      <c r="W55">
        <v>92.5</v>
      </c>
      <c r="X55">
        <v>1.3</v>
      </c>
      <c r="Y55">
        <v>6.1</v>
      </c>
      <c r="Z55">
        <v>0.1</v>
      </c>
      <c r="AB55">
        <v>5.4</v>
      </c>
      <c r="AC55">
        <v>128</v>
      </c>
      <c r="AD55">
        <v>1.31</v>
      </c>
      <c r="AE55">
        <v>90</v>
      </c>
      <c r="AF55" t="s">
        <v>647</v>
      </c>
      <c r="AG55">
        <v>4.0999999999999996</v>
      </c>
      <c r="AI55">
        <v>10.9</v>
      </c>
      <c r="AJ55">
        <v>2.2999999999999998</v>
      </c>
      <c r="AK55">
        <v>0</v>
      </c>
      <c r="AL55">
        <v>24.3</v>
      </c>
      <c r="AM55">
        <v>100.7</v>
      </c>
      <c r="AN55">
        <v>12.4</v>
      </c>
      <c r="AO55">
        <v>17.8</v>
      </c>
      <c r="AP55">
        <v>11.5</v>
      </c>
      <c r="AQ55">
        <v>-0.1</v>
      </c>
      <c r="AR55">
        <v>1.29</v>
      </c>
      <c r="AS55">
        <v>25.2</v>
      </c>
      <c r="AT55">
        <v>54.3</v>
      </c>
      <c r="AU55">
        <v>59.5</v>
      </c>
      <c r="AV55">
        <v>25.7</v>
      </c>
      <c r="AW55">
        <v>7399</v>
      </c>
      <c r="AX55" t="s">
        <v>648</v>
      </c>
      <c r="AY55" t="s">
        <v>649</v>
      </c>
      <c r="AZ55">
        <v>306.39999999999998</v>
      </c>
      <c r="BA55">
        <v>42.2</v>
      </c>
      <c r="BB55">
        <v>-0.1</v>
      </c>
      <c r="BC55">
        <v>0</v>
      </c>
      <c r="BD55">
        <v>-0.2</v>
      </c>
      <c r="BE55">
        <v>0</v>
      </c>
    </row>
    <row r="56" spans="1:57" x14ac:dyDescent="0.25">
      <c r="A56" t="s">
        <v>596</v>
      </c>
      <c r="B56">
        <v>161</v>
      </c>
      <c r="C56" t="s">
        <v>82</v>
      </c>
      <c r="D56">
        <v>3</v>
      </c>
      <c r="E56" t="s">
        <v>54</v>
      </c>
      <c r="F56" t="s">
        <v>382</v>
      </c>
      <c r="G56">
        <v>984</v>
      </c>
      <c r="H56">
        <v>0</v>
      </c>
      <c r="I56">
        <v>0</v>
      </c>
      <c r="J56">
        <v>1</v>
      </c>
      <c r="K56" t="s">
        <v>572</v>
      </c>
      <c r="L56" t="s">
        <v>597</v>
      </c>
      <c r="M56" t="s">
        <v>597</v>
      </c>
      <c r="P56" t="s">
        <v>165</v>
      </c>
      <c r="Q56">
        <v>6.4</v>
      </c>
      <c r="R56">
        <v>7.484</v>
      </c>
      <c r="S56">
        <v>5.7</v>
      </c>
      <c r="T56">
        <v>25.4</v>
      </c>
      <c r="U56">
        <v>6.4</v>
      </c>
      <c r="V56">
        <v>100.7</v>
      </c>
      <c r="W56">
        <v>100.2</v>
      </c>
      <c r="X56">
        <v>0.7</v>
      </c>
      <c r="Y56">
        <v>-0.7</v>
      </c>
      <c r="Z56">
        <v>-0.2</v>
      </c>
      <c r="AB56">
        <v>4.5</v>
      </c>
      <c r="AC56">
        <v>139</v>
      </c>
      <c r="AD56">
        <v>1.23</v>
      </c>
      <c r="AE56">
        <v>96</v>
      </c>
      <c r="AF56" t="s">
        <v>598</v>
      </c>
      <c r="AG56">
        <v>2</v>
      </c>
      <c r="AI56">
        <v>14.7</v>
      </c>
      <c r="AJ56">
        <v>2.52</v>
      </c>
      <c r="AK56">
        <v>8.6999999999999993</v>
      </c>
      <c r="AL56">
        <v>31.7</v>
      </c>
      <c r="AM56">
        <v>100.7</v>
      </c>
      <c r="AN56">
        <v>10.1</v>
      </c>
      <c r="AO56">
        <v>14.6</v>
      </c>
      <c r="AP56">
        <v>14.1</v>
      </c>
      <c r="AQ56">
        <v>7.9</v>
      </c>
      <c r="AR56">
        <v>1.29</v>
      </c>
      <c r="AS56">
        <v>32.1</v>
      </c>
      <c r="AT56">
        <v>66.3</v>
      </c>
      <c r="AU56">
        <v>74.900000000000006</v>
      </c>
      <c r="AV56">
        <v>31.4</v>
      </c>
      <c r="AW56">
        <v>7506</v>
      </c>
      <c r="AX56" t="s">
        <v>599</v>
      </c>
      <c r="AY56" t="s">
        <v>600</v>
      </c>
      <c r="AZ56">
        <v>283.3</v>
      </c>
      <c r="BA56">
        <v>32.799999999999997</v>
      </c>
      <c r="BB56">
        <v>7.9</v>
      </c>
      <c r="BC56">
        <v>8.6999999999999993</v>
      </c>
      <c r="BD56">
        <v>7.9</v>
      </c>
      <c r="BE56">
        <v>8.6999999999999993</v>
      </c>
    </row>
    <row r="57" spans="1:57" x14ac:dyDescent="0.25">
      <c r="A57" t="s">
        <v>755</v>
      </c>
      <c r="B57">
        <v>151</v>
      </c>
      <c r="C57" t="s">
        <v>58</v>
      </c>
      <c r="D57">
        <v>3</v>
      </c>
      <c r="E57" t="s">
        <v>142</v>
      </c>
      <c r="F57" t="s">
        <v>383</v>
      </c>
      <c r="G57">
        <v>1175</v>
      </c>
      <c r="H57">
        <v>1</v>
      </c>
      <c r="I57">
        <v>1</v>
      </c>
      <c r="J57">
        <v>0</v>
      </c>
      <c r="K57" t="s">
        <v>564</v>
      </c>
      <c r="L57" t="s">
        <v>597</v>
      </c>
      <c r="M57" t="s">
        <v>597</v>
      </c>
      <c r="P57" t="s">
        <v>59</v>
      </c>
      <c r="Q57">
        <v>3.9</v>
      </c>
      <c r="R57">
        <v>7.4390000000000001</v>
      </c>
      <c r="S57">
        <v>6.44</v>
      </c>
      <c r="T57">
        <v>7.15</v>
      </c>
      <c r="U57">
        <v>3.9</v>
      </c>
      <c r="V57">
        <v>99.8</v>
      </c>
      <c r="W57">
        <v>95.7</v>
      </c>
      <c r="X57">
        <v>3.5</v>
      </c>
      <c r="Y57">
        <v>0.2</v>
      </c>
      <c r="Z57">
        <v>0.6</v>
      </c>
      <c r="AB57">
        <v>5.2</v>
      </c>
      <c r="AC57">
        <v>159</v>
      </c>
      <c r="AD57">
        <v>0.99</v>
      </c>
      <c r="AE57">
        <v>105</v>
      </c>
      <c r="AF57" t="s">
        <v>756</v>
      </c>
      <c r="AG57">
        <v>2.1</v>
      </c>
      <c r="AI57">
        <v>8.5</v>
      </c>
      <c r="AJ57">
        <v>3.31</v>
      </c>
      <c r="AK57">
        <v>8.6</v>
      </c>
      <c r="AL57">
        <v>31.7</v>
      </c>
      <c r="AM57">
        <v>100.7</v>
      </c>
      <c r="AN57">
        <v>20.7</v>
      </c>
      <c r="AO57">
        <v>25.9</v>
      </c>
      <c r="AP57">
        <v>8.3000000000000007</v>
      </c>
      <c r="AQ57">
        <v>7.9</v>
      </c>
      <c r="AR57">
        <v>1.02</v>
      </c>
      <c r="AS57">
        <v>32.700000000000003</v>
      </c>
      <c r="AT57">
        <v>71.5</v>
      </c>
      <c r="AU57">
        <v>76.7</v>
      </c>
      <c r="AV57">
        <v>19.100000000000001</v>
      </c>
      <c r="AW57">
        <v>7505</v>
      </c>
      <c r="AX57" t="s">
        <v>757</v>
      </c>
      <c r="AY57" t="s">
        <v>758</v>
      </c>
      <c r="AZ57">
        <v>321.5</v>
      </c>
      <c r="BA57">
        <v>36.4</v>
      </c>
      <c r="BB57">
        <v>7.9</v>
      </c>
      <c r="BC57">
        <v>8.6</v>
      </c>
      <c r="BD57">
        <v>7.8</v>
      </c>
      <c r="BE57">
        <v>8.6</v>
      </c>
    </row>
    <row r="58" spans="1:57" x14ac:dyDescent="0.25">
      <c r="A58" t="s">
        <v>796</v>
      </c>
      <c r="B58">
        <v>159</v>
      </c>
      <c r="C58" t="s">
        <v>62</v>
      </c>
      <c r="D58">
        <v>3</v>
      </c>
      <c r="E58" t="s">
        <v>146</v>
      </c>
      <c r="F58" t="s">
        <v>383</v>
      </c>
      <c r="G58">
        <v>1219</v>
      </c>
      <c r="H58">
        <v>0</v>
      </c>
      <c r="I58">
        <v>1</v>
      </c>
      <c r="J58">
        <v>0</v>
      </c>
      <c r="K58" t="s">
        <v>544</v>
      </c>
      <c r="L58" t="s">
        <v>597</v>
      </c>
      <c r="M58" t="s">
        <v>597</v>
      </c>
      <c r="P58" t="s">
        <v>63</v>
      </c>
      <c r="Q58">
        <v>4.8</v>
      </c>
      <c r="R58">
        <v>7.4960000000000004</v>
      </c>
      <c r="S58">
        <v>5.3</v>
      </c>
      <c r="T58">
        <v>45.6</v>
      </c>
      <c r="U58">
        <v>4.8</v>
      </c>
      <c r="V58">
        <v>106.2</v>
      </c>
      <c r="W58">
        <v>102</v>
      </c>
      <c r="X58">
        <v>3.2</v>
      </c>
      <c r="Y58">
        <v>-6</v>
      </c>
      <c r="Z58">
        <v>0.8</v>
      </c>
      <c r="AB58">
        <v>5.2</v>
      </c>
      <c r="AC58">
        <v>139</v>
      </c>
      <c r="AD58">
        <v>1.34</v>
      </c>
      <c r="AE58">
        <v>98</v>
      </c>
      <c r="AF58" t="s">
        <v>598</v>
      </c>
      <c r="AG58">
        <v>4.4000000000000004</v>
      </c>
      <c r="AK58">
        <v>7.5</v>
      </c>
      <c r="AM58">
        <v>100.7</v>
      </c>
      <c r="AN58">
        <v>10.8</v>
      </c>
      <c r="AO58">
        <v>16</v>
      </c>
      <c r="AP58">
        <v>10.4</v>
      </c>
      <c r="AQ58">
        <v>6.9</v>
      </c>
      <c r="AR58">
        <v>1.41</v>
      </c>
      <c r="AS58">
        <v>30.7</v>
      </c>
      <c r="AU58">
        <v>71.599999999999994</v>
      </c>
      <c r="AV58">
        <v>23.8</v>
      </c>
      <c r="AW58">
        <v>7494</v>
      </c>
      <c r="AX58" t="s">
        <v>797</v>
      </c>
      <c r="AY58" t="s">
        <v>798</v>
      </c>
      <c r="AZ58">
        <v>284.89999999999998</v>
      </c>
      <c r="BA58">
        <v>31.9</v>
      </c>
      <c r="BB58">
        <v>6.9</v>
      </c>
      <c r="BC58">
        <v>7.5</v>
      </c>
    </row>
    <row r="59" spans="1:57" x14ac:dyDescent="0.25">
      <c r="A59" t="s">
        <v>801</v>
      </c>
      <c r="B59">
        <v>157</v>
      </c>
      <c r="C59" t="s">
        <v>64</v>
      </c>
      <c r="D59">
        <v>3</v>
      </c>
      <c r="E59" t="s">
        <v>146</v>
      </c>
      <c r="F59" t="s">
        <v>382</v>
      </c>
      <c r="G59">
        <v>849</v>
      </c>
      <c r="H59">
        <v>0</v>
      </c>
      <c r="I59">
        <v>1</v>
      </c>
      <c r="J59">
        <v>0</v>
      </c>
      <c r="K59" t="s">
        <v>570</v>
      </c>
      <c r="L59" t="s">
        <v>597</v>
      </c>
      <c r="M59" t="s">
        <v>597</v>
      </c>
      <c r="P59" t="s">
        <v>65</v>
      </c>
      <c r="Q59">
        <v>5.8</v>
      </c>
      <c r="R59">
        <v>7.4550000000000001</v>
      </c>
      <c r="S59">
        <v>6.35</v>
      </c>
      <c r="T59">
        <v>5.69</v>
      </c>
      <c r="U59">
        <v>5.8</v>
      </c>
      <c r="V59">
        <v>89.3</v>
      </c>
      <c r="W59">
        <v>88.2</v>
      </c>
      <c r="X59">
        <v>1.3</v>
      </c>
      <c r="Y59">
        <v>10.6</v>
      </c>
      <c r="Z59">
        <v>-0.1</v>
      </c>
      <c r="AB59">
        <v>4.8</v>
      </c>
      <c r="AC59">
        <v>146</v>
      </c>
      <c r="AD59">
        <v>1.1100000000000001</v>
      </c>
      <c r="AE59">
        <v>101</v>
      </c>
      <c r="AF59" t="s">
        <v>821</v>
      </c>
      <c r="AG59">
        <v>1.5</v>
      </c>
      <c r="AI59">
        <v>11.7</v>
      </c>
      <c r="AJ59">
        <v>2.54</v>
      </c>
      <c r="AK59">
        <v>9.6</v>
      </c>
      <c r="AL59">
        <v>32.200000000000003</v>
      </c>
      <c r="AM59">
        <v>100.7</v>
      </c>
      <c r="AN59">
        <v>11.5</v>
      </c>
      <c r="AO59">
        <v>16.3</v>
      </c>
      <c r="AP59">
        <v>12.9</v>
      </c>
      <c r="AQ59">
        <v>8.6</v>
      </c>
      <c r="AR59">
        <v>1.1499999999999999</v>
      </c>
      <c r="AS59">
        <v>33.5</v>
      </c>
      <c r="AT59">
        <v>70.400000000000006</v>
      </c>
      <c r="AU59">
        <v>78.400000000000006</v>
      </c>
      <c r="AV59">
        <v>28.8</v>
      </c>
      <c r="AW59">
        <v>7514</v>
      </c>
      <c r="AX59" t="s">
        <v>822</v>
      </c>
      <c r="AY59" t="s">
        <v>823</v>
      </c>
      <c r="AZ59">
        <v>298.60000000000002</v>
      </c>
      <c r="BA59">
        <v>35</v>
      </c>
      <c r="BB59">
        <v>8.6</v>
      </c>
      <c r="BC59">
        <v>9.6</v>
      </c>
      <c r="BD59">
        <v>8.4</v>
      </c>
      <c r="BE59">
        <v>9.5</v>
      </c>
    </row>
    <row r="60" spans="1:57" x14ac:dyDescent="0.25">
      <c r="A60" t="s">
        <v>699</v>
      </c>
      <c r="C60" t="s">
        <v>66</v>
      </c>
      <c r="D60">
        <v>3</v>
      </c>
      <c r="E60" t="s">
        <v>71</v>
      </c>
      <c r="F60" t="s">
        <v>383</v>
      </c>
      <c r="G60">
        <v>1279</v>
      </c>
      <c r="H60">
        <v>0</v>
      </c>
      <c r="I60">
        <v>0</v>
      </c>
      <c r="J60">
        <v>0</v>
      </c>
      <c r="K60" t="s">
        <v>553</v>
      </c>
      <c r="L60" t="s">
        <v>597</v>
      </c>
      <c r="M60" t="s">
        <v>597</v>
      </c>
      <c r="P60" t="s">
        <v>67</v>
      </c>
      <c r="Q60">
        <v>4.5</v>
      </c>
      <c r="R60">
        <v>7.3680000000000003</v>
      </c>
      <c r="S60">
        <v>6.79</v>
      </c>
      <c r="T60">
        <v>9.2100000000000009</v>
      </c>
      <c r="U60">
        <v>4.5</v>
      </c>
      <c r="V60">
        <v>102.7</v>
      </c>
      <c r="W60">
        <v>98.6</v>
      </c>
      <c r="X60">
        <v>3.4</v>
      </c>
      <c r="Y60">
        <v>-2.6</v>
      </c>
      <c r="Z60">
        <v>0.6</v>
      </c>
      <c r="AB60">
        <v>5.5</v>
      </c>
      <c r="AC60">
        <v>140</v>
      </c>
      <c r="AD60">
        <v>1.3</v>
      </c>
      <c r="AE60">
        <v>96</v>
      </c>
      <c r="AF60" t="s">
        <v>700</v>
      </c>
      <c r="AG60">
        <v>2.1</v>
      </c>
      <c r="AK60">
        <v>4</v>
      </c>
      <c r="AM60">
        <v>100.7</v>
      </c>
      <c r="AN60">
        <v>14.2</v>
      </c>
      <c r="AO60">
        <v>19.7</v>
      </c>
      <c r="AP60">
        <v>9.6</v>
      </c>
      <c r="AQ60">
        <v>3.5</v>
      </c>
      <c r="AR60">
        <v>1.28</v>
      </c>
      <c r="AS60">
        <v>29.3</v>
      </c>
      <c r="AU60">
        <v>69.099999999999994</v>
      </c>
      <c r="AV60">
        <v>22.1</v>
      </c>
      <c r="AW60">
        <v>7448</v>
      </c>
      <c r="AX60" t="s">
        <v>701</v>
      </c>
      <c r="AY60" t="s">
        <v>702</v>
      </c>
      <c r="AZ60">
        <v>294.60000000000002</v>
      </c>
      <c r="BA60">
        <v>42.9</v>
      </c>
      <c r="BB60">
        <v>3.5</v>
      </c>
      <c r="BC60">
        <v>4</v>
      </c>
    </row>
    <row r="61" spans="1:57" x14ac:dyDescent="0.25">
      <c r="A61" t="s">
        <v>613</v>
      </c>
      <c r="B61">
        <v>165</v>
      </c>
      <c r="C61" t="s">
        <v>385</v>
      </c>
      <c r="D61">
        <v>3</v>
      </c>
      <c r="E61" t="s">
        <v>54</v>
      </c>
      <c r="F61" t="s">
        <v>383</v>
      </c>
      <c r="G61">
        <v>676</v>
      </c>
      <c r="H61">
        <v>0</v>
      </c>
      <c r="I61">
        <v>0</v>
      </c>
      <c r="J61">
        <v>1</v>
      </c>
      <c r="K61" t="s">
        <v>558</v>
      </c>
      <c r="L61" t="s">
        <v>597</v>
      </c>
      <c r="M61" t="s">
        <v>597</v>
      </c>
      <c r="P61" t="s">
        <v>559</v>
      </c>
      <c r="Q61">
        <v>4.2</v>
      </c>
      <c r="R61">
        <v>7.2439999999999998</v>
      </c>
      <c r="S61">
        <v>8.74</v>
      </c>
      <c r="T61">
        <v>6.19</v>
      </c>
      <c r="U61">
        <v>4.2</v>
      </c>
      <c r="V61">
        <v>95</v>
      </c>
      <c r="W61">
        <v>91.2</v>
      </c>
      <c r="X61">
        <v>3.3</v>
      </c>
      <c r="Y61">
        <v>4.8</v>
      </c>
      <c r="Z61">
        <v>0.7</v>
      </c>
      <c r="AB61">
        <v>6.1</v>
      </c>
      <c r="AC61">
        <v>123</v>
      </c>
      <c r="AD61">
        <v>1.23</v>
      </c>
      <c r="AE61">
        <v>87</v>
      </c>
      <c r="AF61" t="s">
        <v>614</v>
      </c>
      <c r="AG61">
        <v>1.7</v>
      </c>
      <c r="AI61">
        <v>8.6999999999999993</v>
      </c>
      <c r="AJ61">
        <v>1.9</v>
      </c>
      <c r="AK61">
        <v>1</v>
      </c>
      <c r="AL61">
        <v>25.1</v>
      </c>
      <c r="AM61">
        <v>100.7</v>
      </c>
      <c r="AN61">
        <v>8</v>
      </c>
      <c r="AO61">
        <v>14</v>
      </c>
      <c r="AP61">
        <v>9</v>
      </c>
      <c r="AQ61">
        <v>0.8</v>
      </c>
      <c r="AR61">
        <v>1.1299999999999999</v>
      </c>
      <c r="AS61">
        <v>28.4</v>
      </c>
      <c r="AT61">
        <v>63.5</v>
      </c>
      <c r="AU61">
        <v>68.099999999999994</v>
      </c>
      <c r="AV61">
        <v>20.7</v>
      </c>
      <c r="AW61">
        <v>7405</v>
      </c>
      <c r="AX61" t="s">
        <v>615</v>
      </c>
      <c r="AY61" t="s">
        <v>616</v>
      </c>
      <c r="BA61">
        <v>57</v>
      </c>
      <c r="BB61">
        <v>0.8</v>
      </c>
      <c r="BC61">
        <v>1</v>
      </c>
      <c r="BD61">
        <v>0.7</v>
      </c>
      <c r="BE61">
        <v>1</v>
      </c>
    </row>
    <row r="62" spans="1:57" x14ac:dyDescent="0.25">
      <c r="A62" t="s">
        <v>720</v>
      </c>
      <c r="B62">
        <v>160</v>
      </c>
      <c r="C62" t="s">
        <v>68</v>
      </c>
      <c r="D62">
        <v>3</v>
      </c>
      <c r="E62" t="s">
        <v>71</v>
      </c>
      <c r="F62" t="s">
        <v>383</v>
      </c>
      <c r="G62">
        <v>637</v>
      </c>
      <c r="H62">
        <v>0</v>
      </c>
      <c r="I62">
        <v>0</v>
      </c>
      <c r="J62">
        <v>0</v>
      </c>
      <c r="K62" t="s">
        <v>573</v>
      </c>
      <c r="L62" t="s">
        <v>597</v>
      </c>
      <c r="M62" t="s">
        <v>597</v>
      </c>
      <c r="P62" t="s">
        <v>182</v>
      </c>
      <c r="Q62">
        <v>5.4</v>
      </c>
      <c r="R62">
        <v>7.4870000000000001</v>
      </c>
      <c r="S62">
        <v>5.61</v>
      </c>
      <c r="T62">
        <v>37.6</v>
      </c>
      <c r="U62">
        <v>5.4</v>
      </c>
      <c r="V62">
        <v>101.2</v>
      </c>
      <c r="W62">
        <v>100.2</v>
      </c>
      <c r="X62">
        <v>0.8</v>
      </c>
      <c r="Y62">
        <v>-1.2</v>
      </c>
      <c r="Z62">
        <v>0.2</v>
      </c>
      <c r="AB62">
        <v>4.9000000000000004</v>
      </c>
      <c r="AC62">
        <v>136</v>
      </c>
      <c r="AD62">
        <v>1.35</v>
      </c>
      <c r="AE62">
        <v>95</v>
      </c>
      <c r="AF62" t="s">
        <v>721</v>
      </c>
      <c r="AG62">
        <v>1.6</v>
      </c>
      <c r="AI62">
        <v>12.9</v>
      </c>
      <c r="AJ62">
        <v>2.57</v>
      </c>
      <c r="AK62">
        <v>8.5</v>
      </c>
      <c r="AL62">
        <v>31.6</v>
      </c>
      <c r="AM62">
        <v>100.7</v>
      </c>
      <c r="AN62">
        <v>8.5</v>
      </c>
      <c r="AO62">
        <v>13.4</v>
      </c>
      <c r="AP62">
        <v>12</v>
      </c>
      <c r="AQ62">
        <v>7.8</v>
      </c>
      <c r="AR62">
        <v>1.42</v>
      </c>
      <c r="AS62">
        <v>31.9</v>
      </c>
      <c r="AT62">
        <v>67.099999999999994</v>
      </c>
      <c r="AU62">
        <v>74.3</v>
      </c>
      <c r="AV62">
        <v>26.7</v>
      </c>
      <c r="AW62">
        <v>7505</v>
      </c>
      <c r="AX62" t="s">
        <v>722</v>
      </c>
      <c r="AY62" t="s">
        <v>723</v>
      </c>
      <c r="AZ62">
        <v>274.5</v>
      </c>
      <c r="BA62">
        <v>32.6</v>
      </c>
      <c r="BB62">
        <v>7.8</v>
      </c>
      <c r="BC62">
        <v>8.5</v>
      </c>
      <c r="BD62">
        <v>7.8</v>
      </c>
      <c r="BE62">
        <v>8.5</v>
      </c>
    </row>
    <row r="63" spans="1:57" x14ac:dyDescent="0.25">
      <c r="A63" t="s">
        <v>855</v>
      </c>
      <c r="B63">
        <v>144</v>
      </c>
      <c r="C63" t="s">
        <v>386</v>
      </c>
      <c r="D63">
        <v>3</v>
      </c>
      <c r="E63" t="s">
        <v>146</v>
      </c>
      <c r="F63" t="s">
        <v>383</v>
      </c>
      <c r="G63">
        <v>1017</v>
      </c>
      <c r="H63">
        <v>0</v>
      </c>
      <c r="I63">
        <v>1</v>
      </c>
      <c r="J63">
        <v>0</v>
      </c>
      <c r="K63" t="s">
        <v>555</v>
      </c>
      <c r="L63" t="s">
        <v>597</v>
      </c>
      <c r="M63" t="s">
        <v>597</v>
      </c>
      <c r="P63" t="s">
        <v>556</v>
      </c>
      <c r="Q63">
        <v>5.2</v>
      </c>
      <c r="R63">
        <v>7.4020000000000001</v>
      </c>
      <c r="S63">
        <v>6.73</v>
      </c>
      <c r="T63">
        <v>38.6</v>
      </c>
      <c r="U63">
        <v>5.2</v>
      </c>
      <c r="V63">
        <v>101.3</v>
      </c>
      <c r="W63">
        <v>100.3</v>
      </c>
      <c r="X63">
        <v>0.9</v>
      </c>
      <c r="Y63">
        <v>-1.3</v>
      </c>
      <c r="Z63">
        <v>0.1</v>
      </c>
      <c r="AB63">
        <v>4.5</v>
      </c>
      <c r="AC63">
        <v>146</v>
      </c>
      <c r="AD63">
        <v>1.03</v>
      </c>
      <c r="AE63">
        <v>97</v>
      </c>
      <c r="AF63" t="s">
        <v>619</v>
      </c>
      <c r="AG63">
        <v>1.5</v>
      </c>
      <c r="AI63">
        <v>12.4</v>
      </c>
      <c r="AJ63">
        <v>2.83</v>
      </c>
      <c r="AK63">
        <v>6.6</v>
      </c>
      <c r="AL63">
        <v>29.7</v>
      </c>
      <c r="AM63">
        <v>100.7</v>
      </c>
      <c r="AN63">
        <v>17.2</v>
      </c>
      <c r="AO63">
        <v>21.7</v>
      </c>
      <c r="AP63">
        <v>11.5</v>
      </c>
      <c r="AQ63">
        <v>5.8</v>
      </c>
      <c r="AR63">
        <v>1.03</v>
      </c>
      <c r="AS63">
        <v>31.4</v>
      </c>
      <c r="AT63">
        <v>67.099999999999994</v>
      </c>
      <c r="AU63">
        <v>73.7</v>
      </c>
      <c r="AV63">
        <v>25.5</v>
      </c>
      <c r="AW63">
        <v>7479</v>
      </c>
      <c r="AX63" t="s">
        <v>856</v>
      </c>
      <c r="AY63" t="s">
        <v>857</v>
      </c>
      <c r="AZ63">
        <v>305.2</v>
      </c>
      <c r="BA63">
        <v>39.700000000000003</v>
      </c>
      <c r="BB63">
        <v>5.8</v>
      </c>
      <c r="BC63">
        <v>6.6</v>
      </c>
      <c r="BD63">
        <v>5.8</v>
      </c>
      <c r="BE63">
        <v>6.6</v>
      </c>
    </row>
    <row r="64" spans="1:57" x14ac:dyDescent="0.25">
      <c r="A64" t="s">
        <v>813</v>
      </c>
      <c r="B64">
        <v>142</v>
      </c>
      <c r="C64" t="s">
        <v>388</v>
      </c>
      <c r="D64">
        <v>3</v>
      </c>
      <c r="E64" t="s">
        <v>146</v>
      </c>
      <c r="F64" t="s">
        <v>382</v>
      </c>
      <c r="G64">
        <v>909</v>
      </c>
      <c r="H64">
        <v>0</v>
      </c>
      <c r="I64">
        <v>1</v>
      </c>
      <c r="J64">
        <v>0</v>
      </c>
      <c r="K64" t="s">
        <v>575</v>
      </c>
      <c r="L64" t="s">
        <v>597</v>
      </c>
      <c r="M64" t="s">
        <v>597</v>
      </c>
      <c r="P64" t="s">
        <v>188</v>
      </c>
      <c r="Q64">
        <v>4.9000000000000004</v>
      </c>
      <c r="R64">
        <v>7.4530000000000003</v>
      </c>
      <c r="S64">
        <v>5.87</v>
      </c>
      <c r="T64">
        <v>4.82</v>
      </c>
      <c r="U64">
        <v>4.9000000000000004</v>
      </c>
      <c r="V64">
        <v>86.4</v>
      </c>
      <c r="W64">
        <v>83.1</v>
      </c>
      <c r="X64">
        <v>3.2</v>
      </c>
      <c r="Y64">
        <v>13.1</v>
      </c>
      <c r="Z64">
        <v>0.6</v>
      </c>
      <c r="AB64">
        <v>4.4000000000000004</v>
      </c>
      <c r="AC64">
        <v>148</v>
      </c>
      <c r="AD64">
        <v>0.91</v>
      </c>
      <c r="AE64">
        <v>104</v>
      </c>
      <c r="AF64" t="s">
        <v>721</v>
      </c>
      <c r="AG64">
        <v>3.1</v>
      </c>
      <c r="AI64">
        <v>9.3000000000000007</v>
      </c>
      <c r="AJ64">
        <v>2.34</v>
      </c>
      <c r="AK64">
        <v>6.8</v>
      </c>
      <c r="AL64">
        <v>29.9</v>
      </c>
      <c r="AM64">
        <v>100.7</v>
      </c>
      <c r="AN64">
        <v>14</v>
      </c>
      <c r="AO64">
        <v>18.399999999999999</v>
      </c>
      <c r="AP64">
        <v>10.6</v>
      </c>
      <c r="AQ64">
        <v>6.2</v>
      </c>
      <c r="AR64">
        <v>0.93</v>
      </c>
      <c r="AS64">
        <v>30.8</v>
      </c>
      <c r="AT64">
        <v>65.8</v>
      </c>
      <c r="AU64">
        <v>71.900000000000006</v>
      </c>
      <c r="AV64">
        <v>24.2</v>
      </c>
      <c r="AW64">
        <v>7485</v>
      </c>
      <c r="AX64" t="s">
        <v>814</v>
      </c>
      <c r="AY64" t="s">
        <v>815</v>
      </c>
      <c r="AZ64">
        <v>299.60000000000002</v>
      </c>
      <c r="BA64">
        <v>35.299999999999997</v>
      </c>
      <c r="BB64">
        <v>6.2</v>
      </c>
      <c r="BC64">
        <v>6.8</v>
      </c>
      <c r="BD64">
        <v>6</v>
      </c>
      <c r="BE64">
        <v>6.7</v>
      </c>
    </row>
    <row r="65" spans="1:57" x14ac:dyDescent="0.25">
      <c r="A65" t="s">
        <v>861</v>
      </c>
      <c r="B65">
        <v>158</v>
      </c>
      <c r="C65" t="s">
        <v>389</v>
      </c>
      <c r="D65">
        <v>3</v>
      </c>
      <c r="E65" t="s">
        <v>146</v>
      </c>
      <c r="F65" t="s">
        <v>382</v>
      </c>
      <c r="G65">
        <v>795</v>
      </c>
      <c r="H65">
        <v>0</v>
      </c>
      <c r="I65">
        <v>1</v>
      </c>
      <c r="J65">
        <v>0</v>
      </c>
      <c r="K65" t="s">
        <v>549</v>
      </c>
      <c r="L65" t="s">
        <v>597</v>
      </c>
      <c r="M65" t="s">
        <v>597</v>
      </c>
      <c r="P65" t="s">
        <v>550</v>
      </c>
      <c r="Q65">
        <v>5.3</v>
      </c>
      <c r="R65">
        <v>7.4790000000000001</v>
      </c>
      <c r="S65">
        <v>4.8499999999999996</v>
      </c>
      <c r="T65">
        <v>31.6</v>
      </c>
      <c r="U65">
        <v>5.3</v>
      </c>
      <c r="V65">
        <v>101.3</v>
      </c>
      <c r="W65">
        <v>100.2</v>
      </c>
      <c r="X65">
        <v>0.8</v>
      </c>
      <c r="Y65">
        <v>-1.3</v>
      </c>
      <c r="Z65">
        <v>0.3</v>
      </c>
      <c r="AB65">
        <v>5.0999999999999996</v>
      </c>
      <c r="AC65">
        <v>151</v>
      </c>
      <c r="AD65">
        <v>1.04</v>
      </c>
      <c r="AE65">
        <v>103</v>
      </c>
      <c r="AF65" t="s">
        <v>862</v>
      </c>
      <c r="AG65">
        <v>6.9</v>
      </c>
      <c r="AI65">
        <v>12.4</v>
      </c>
      <c r="AJ65">
        <v>2.6</v>
      </c>
      <c r="AK65">
        <v>3.5</v>
      </c>
      <c r="AL65">
        <v>27.4</v>
      </c>
      <c r="AM65">
        <v>100.7</v>
      </c>
      <c r="AN65">
        <v>21.7</v>
      </c>
      <c r="AO65">
        <v>26.7</v>
      </c>
      <c r="AP65">
        <v>11.7</v>
      </c>
      <c r="AQ65">
        <v>3.3</v>
      </c>
      <c r="AR65">
        <v>1.08</v>
      </c>
      <c r="AS65">
        <v>27</v>
      </c>
      <c r="AT65">
        <v>57</v>
      </c>
      <c r="AU65">
        <v>63</v>
      </c>
      <c r="AV65">
        <v>26</v>
      </c>
      <c r="AW65">
        <v>7448</v>
      </c>
      <c r="AX65" t="s">
        <v>863</v>
      </c>
      <c r="AY65" t="s">
        <v>864</v>
      </c>
      <c r="AZ65">
        <v>307.10000000000002</v>
      </c>
      <c r="BA65">
        <v>33.200000000000003</v>
      </c>
      <c r="BB65">
        <v>3.3</v>
      </c>
      <c r="BC65">
        <v>3.5</v>
      </c>
      <c r="BD65">
        <v>3.3</v>
      </c>
      <c r="BE65">
        <v>3.5</v>
      </c>
    </row>
    <row r="66" spans="1:57" x14ac:dyDescent="0.25">
      <c r="A66" t="s">
        <v>703</v>
      </c>
      <c r="B66">
        <v>162</v>
      </c>
      <c r="C66" t="s">
        <v>390</v>
      </c>
      <c r="D66">
        <v>3</v>
      </c>
      <c r="E66" t="s">
        <v>71</v>
      </c>
      <c r="F66" t="s">
        <v>382</v>
      </c>
      <c r="G66">
        <v>828</v>
      </c>
      <c r="H66">
        <v>0</v>
      </c>
      <c r="I66">
        <v>0</v>
      </c>
      <c r="J66">
        <v>0</v>
      </c>
      <c r="K66" t="s">
        <v>568</v>
      </c>
      <c r="L66" t="s">
        <v>597</v>
      </c>
      <c r="M66" t="s">
        <v>597</v>
      </c>
      <c r="P66" t="s">
        <v>569</v>
      </c>
      <c r="Q66">
        <v>4.0999999999999996</v>
      </c>
      <c r="R66">
        <v>7.05</v>
      </c>
      <c r="S66">
        <v>6.57</v>
      </c>
      <c r="T66">
        <v>8.8699999999999992</v>
      </c>
      <c r="U66">
        <v>4.0999999999999996</v>
      </c>
      <c r="V66">
        <v>97.5</v>
      </c>
      <c r="W66">
        <v>93.4</v>
      </c>
      <c r="X66">
        <v>3.3</v>
      </c>
      <c r="Y66">
        <v>2.4</v>
      </c>
      <c r="Z66">
        <v>0.9</v>
      </c>
      <c r="AB66">
        <v>5.3</v>
      </c>
      <c r="AC66">
        <v>134</v>
      </c>
      <c r="AD66">
        <v>1.23</v>
      </c>
      <c r="AE66">
        <v>94</v>
      </c>
      <c r="AF66" t="s">
        <v>704</v>
      </c>
      <c r="AG66">
        <v>12.4</v>
      </c>
      <c r="AI66">
        <v>8.9</v>
      </c>
      <c r="AJ66">
        <v>4.8600000000000003</v>
      </c>
      <c r="AK66">
        <v>-16.8</v>
      </c>
      <c r="AL66">
        <v>12.2</v>
      </c>
      <c r="AM66">
        <v>100.7</v>
      </c>
      <c r="AN66">
        <v>26.4</v>
      </c>
      <c r="AO66">
        <v>31.7</v>
      </c>
      <c r="AP66">
        <v>8.9</v>
      </c>
      <c r="AQ66">
        <v>-15.6</v>
      </c>
      <c r="AR66">
        <v>1.01</v>
      </c>
      <c r="AS66">
        <v>13.6</v>
      </c>
      <c r="AT66">
        <v>32</v>
      </c>
      <c r="AU66">
        <v>33.9</v>
      </c>
      <c r="AV66">
        <v>20.399999999999999</v>
      </c>
      <c r="AW66">
        <v>7106</v>
      </c>
      <c r="AX66" t="s">
        <v>705</v>
      </c>
      <c r="AY66" t="s">
        <v>706</v>
      </c>
      <c r="AZ66">
        <v>296.89999999999998</v>
      </c>
      <c r="BA66">
        <v>89.1</v>
      </c>
      <c r="BB66">
        <v>-15.6</v>
      </c>
      <c r="BC66">
        <v>-16.8</v>
      </c>
      <c r="BD66">
        <v>-15.6</v>
      </c>
      <c r="BE66">
        <v>-16.899999999999999</v>
      </c>
    </row>
    <row r="67" spans="1:57" x14ac:dyDescent="0.25">
      <c r="A67" t="s">
        <v>858</v>
      </c>
      <c r="B67">
        <v>156</v>
      </c>
      <c r="C67" t="s">
        <v>384</v>
      </c>
      <c r="D67">
        <v>3</v>
      </c>
      <c r="E67" t="s">
        <v>146</v>
      </c>
      <c r="F67" t="s">
        <v>382</v>
      </c>
      <c r="G67">
        <v>702</v>
      </c>
      <c r="H67">
        <v>0</v>
      </c>
      <c r="I67">
        <v>1</v>
      </c>
      <c r="J67">
        <v>0</v>
      </c>
      <c r="K67" t="s">
        <v>562</v>
      </c>
      <c r="L67" t="s">
        <v>597</v>
      </c>
      <c r="M67" t="s">
        <v>597</v>
      </c>
      <c r="P67" t="s">
        <v>563</v>
      </c>
      <c r="Q67">
        <v>6.6</v>
      </c>
      <c r="R67">
        <v>7.5090000000000003</v>
      </c>
      <c r="S67">
        <v>5.5</v>
      </c>
      <c r="T67">
        <v>10.6</v>
      </c>
      <c r="U67">
        <v>6.6</v>
      </c>
      <c r="V67">
        <v>99.4</v>
      </c>
      <c r="W67">
        <v>98.5</v>
      </c>
      <c r="X67">
        <v>1</v>
      </c>
      <c r="Y67">
        <v>0.6</v>
      </c>
      <c r="Z67">
        <v>-0.1</v>
      </c>
      <c r="AB67">
        <v>4.8</v>
      </c>
      <c r="AC67">
        <v>134</v>
      </c>
      <c r="AD67">
        <v>1.26</v>
      </c>
      <c r="AE67">
        <v>92</v>
      </c>
      <c r="AF67" t="s">
        <v>598</v>
      </c>
      <c r="AG67">
        <v>1.6</v>
      </c>
      <c r="AI67">
        <v>14.8</v>
      </c>
      <c r="AJ67">
        <v>2.4700000000000002</v>
      </c>
      <c r="AK67">
        <v>9.8000000000000007</v>
      </c>
      <c r="AL67">
        <v>32.700000000000003</v>
      </c>
      <c r="AM67">
        <v>100.7</v>
      </c>
      <c r="AN67">
        <v>9.1</v>
      </c>
      <c r="AO67">
        <v>13.9</v>
      </c>
      <c r="AP67">
        <v>14.7</v>
      </c>
      <c r="AQ67">
        <v>9</v>
      </c>
      <c r="AR67">
        <v>1.34</v>
      </c>
      <c r="AS67">
        <v>32.799999999999997</v>
      </c>
      <c r="AT67">
        <v>67.2</v>
      </c>
      <c r="AU67">
        <v>76.400000000000006</v>
      </c>
      <c r="AV67">
        <v>32.700000000000003</v>
      </c>
      <c r="AW67">
        <v>7519</v>
      </c>
      <c r="AX67" t="s">
        <v>859</v>
      </c>
      <c r="AY67" t="s">
        <v>860</v>
      </c>
      <c r="AZ67">
        <v>274.8</v>
      </c>
      <c r="BA67">
        <v>31</v>
      </c>
      <c r="BB67">
        <v>9</v>
      </c>
      <c r="BC67">
        <v>9.8000000000000007</v>
      </c>
      <c r="BD67">
        <v>8.9</v>
      </c>
      <c r="BE67">
        <v>9.8000000000000007</v>
      </c>
    </row>
    <row r="68" spans="1:57" x14ac:dyDescent="0.25">
      <c r="A68" t="s">
        <v>605</v>
      </c>
      <c r="B68">
        <v>163</v>
      </c>
      <c r="C68" t="s">
        <v>202</v>
      </c>
      <c r="D68">
        <v>3</v>
      </c>
      <c r="E68" t="s">
        <v>54</v>
      </c>
      <c r="F68" t="s">
        <v>382</v>
      </c>
      <c r="G68">
        <v>908</v>
      </c>
      <c r="H68">
        <v>0</v>
      </c>
      <c r="I68">
        <v>0</v>
      </c>
      <c r="J68">
        <v>1</v>
      </c>
      <c r="K68" t="s">
        <v>566</v>
      </c>
      <c r="L68" t="s">
        <v>597</v>
      </c>
      <c r="M68" t="s">
        <v>597</v>
      </c>
      <c r="P68" t="s">
        <v>567</v>
      </c>
      <c r="Q68">
        <v>5.6</v>
      </c>
      <c r="R68">
        <v>7.4409999999999998</v>
      </c>
      <c r="S68">
        <v>6.22</v>
      </c>
      <c r="T68">
        <v>19.399999999999999</v>
      </c>
      <c r="U68">
        <v>5.6</v>
      </c>
      <c r="V68">
        <v>100.8</v>
      </c>
      <c r="W68">
        <v>99.9</v>
      </c>
      <c r="X68">
        <v>0.8</v>
      </c>
      <c r="Y68">
        <v>-0.8</v>
      </c>
      <c r="Z68">
        <v>0.1</v>
      </c>
      <c r="AB68">
        <v>4.8</v>
      </c>
      <c r="AC68">
        <v>140</v>
      </c>
      <c r="AD68">
        <v>1.29</v>
      </c>
      <c r="AE68">
        <v>96</v>
      </c>
      <c r="AF68" t="s">
        <v>606</v>
      </c>
      <c r="AG68">
        <v>2</v>
      </c>
      <c r="AI68">
        <v>12.9</v>
      </c>
      <c r="AJ68">
        <v>2.7</v>
      </c>
      <c r="AK68">
        <v>7.6</v>
      </c>
      <c r="AL68">
        <v>30.6</v>
      </c>
      <c r="AM68">
        <v>100.7</v>
      </c>
      <c r="AN68">
        <v>12.4</v>
      </c>
      <c r="AO68">
        <v>17.2</v>
      </c>
      <c r="AP68">
        <v>12.5</v>
      </c>
      <c r="AQ68">
        <v>6.8</v>
      </c>
      <c r="AR68">
        <v>1.32</v>
      </c>
      <c r="AS68">
        <v>31.7</v>
      </c>
      <c r="AT68">
        <v>66.900000000000006</v>
      </c>
      <c r="AU68">
        <v>74.3</v>
      </c>
      <c r="AV68">
        <v>27.8</v>
      </c>
      <c r="AW68">
        <v>7492</v>
      </c>
      <c r="AX68" t="s">
        <v>607</v>
      </c>
      <c r="AY68" t="s">
        <v>608</v>
      </c>
      <c r="AZ68">
        <v>295.3</v>
      </c>
      <c r="BA68">
        <v>36.200000000000003</v>
      </c>
      <c r="BB68">
        <v>6.8</v>
      </c>
      <c r="BC68">
        <v>7.6</v>
      </c>
      <c r="BD68">
        <v>6.8</v>
      </c>
      <c r="BE68">
        <v>7.6</v>
      </c>
    </row>
    <row r="69" spans="1:57" x14ac:dyDescent="0.25">
      <c r="A69" t="s">
        <v>978</v>
      </c>
      <c r="B69">
        <v>157</v>
      </c>
      <c r="C69" t="s">
        <v>175</v>
      </c>
      <c r="D69">
        <v>3</v>
      </c>
      <c r="E69" t="s">
        <v>142</v>
      </c>
      <c r="F69" t="s">
        <v>382</v>
      </c>
      <c r="G69">
        <v>826</v>
      </c>
      <c r="H69">
        <v>1</v>
      </c>
      <c r="I69">
        <v>1</v>
      </c>
      <c r="J69">
        <v>0</v>
      </c>
      <c r="K69" t="s">
        <v>551</v>
      </c>
      <c r="L69" t="s">
        <v>597</v>
      </c>
      <c r="M69" t="s">
        <v>597</v>
      </c>
      <c r="P69" t="s">
        <v>552</v>
      </c>
      <c r="Q69">
        <v>5.9</v>
      </c>
      <c r="R69">
        <v>7.524</v>
      </c>
      <c r="S69">
        <v>5.75</v>
      </c>
      <c r="T69">
        <v>47.2</v>
      </c>
      <c r="U69">
        <v>5.9</v>
      </c>
      <c r="V69">
        <v>100.9</v>
      </c>
      <c r="W69">
        <v>100.2</v>
      </c>
      <c r="X69">
        <v>0.6</v>
      </c>
      <c r="Y69">
        <v>-0.9</v>
      </c>
      <c r="Z69">
        <v>0.1</v>
      </c>
      <c r="AB69">
        <v>4.9000000000000004</v>
      </c>
      <c r="AC69">
        <v>137</v>
      </c>
      <c r="AD69">
        <v>1.39</v>
      </c>
      <c r="AE69">
        <v>94</v>
      </c>
      <c r="AF69" t="s">
        <v>802</v>
      </c>
      <c r="AG69">
        <v>2.1</v>
      </c>
      <c r="AI69">
        <v>14.3</v>
      </c>
      <c r="AJ69">
        <v>2.42</v>
      </c>
      <c r="AK69">
        <v>12.7</v>
      </c>
      <c r="AL69">
        <v>35.4</v>
      </c>
      <c r="AM69">
        <v>100.7</v>
      </c>
      <c r="AN69">
        <v>7.5</v>
      </c>
      <c r="AO69">
        <v>12.5</v>
      </c>
      <c r="AP69">
        <v>13.2</v>
      </c>
      <c r="AQ69">
        <v>11.6</v>
      </c>
      <c r="AR69">
        <v>1.48</v>
      </c>
      <c r="AS69">
        <v>35.5</v>
      </c>
      <c r="AT69">
        <v>73.599999999999994</v>
      </c>
      <c r="AU69">
        <v>82.5</v>
      </c>
      <c r="AV69">
        <v>29.4</v>
      </c>
      <c r="AW69">
        <v>7550</v>
      </c>
      <c r="AX69" t="s">
        <v>803</v>
      </c>
      <c r="AY69" t="s">
        <v>804</v>
      </c>
      <c r="AZ69">
        <v>279.5</v>
      </c>
      <c r="BA69">
        <v>29.9</v>
      </c>
      <c r="BB69">
        <v>11.6</v>
      </c>
      <c r="BC69">
        <v>12.7</v>
      </c>
      <c r="BD69">
        <v>11.6</v>
      </c>
      <c r="BE69">
        <v>12.7</v>
      </c>
    </row>
    <row r="70" spans="1:57" x14ac:dyDescent="0.25">
      <c r="A70" t="s">
        <v>763</v>
      </c>
      <c r="C70" t="s">
        <v>145</v>
      </c>
      <c r="D70">
        <v>3</v>
      </c>
      <c r="E70" t="s">
        <v>142</v>
      </c>
      <c r="F70" t="s">
        <v>382</v>
      </c>
      <c r="G70">
        <v>970</v>
      </c>
      <c r="H70">
        <v>1</v>
      </c>
      <c r="I70">
        <v>1</v>
      </c>
      <c r="J70">
        <v>0</v>
      </c>
      <c r="K70" t="s">
        <v>571</v>
      </c>
      <c r="L70" t="s">
        <v>597</v>
      </c>
      <c r="M70" t="s">
        <v>597</v>
      </c>
      <c r="P70" t="s">
        <v>147</v>
      </c>
      <c r="Q70">
        <v>5.3</v>
      </c>
      <c r="R70">
        <v>7.4779999999999998</v>
      </c>
      <c r="S70">
        <v>5.29</v>
      </c>
      <c r="T70">
        <v>8.6999999999999993</v>
      </c>
      <c r="U70">
        <v>5.3</v>
      </c>
      <c r="V70">
        <v>98.6</v>
      </c>
      <c r="W70">
        <v>97.3</v>
      </c>
      <c r="X70">
        <v>1.3</v>
      </c>
      <c r="Y70">
        <v>1.4</v>
      </c>
      <c r="Z70">
        <v>0</v>
      </c>
      <c r="AB70">
        <v>4.8</v>
      </c>
      <c r="AC70">
        <v>137</v>
      </c>
      <c r="AD70">
        <v>1.18</v>
      </c>
      <c r="AE70">
        <v>94</v>
      </c>
      <c r="AF70" t="s">
        <v>764</v>
      </c>
      <c r="AG70">
        <v>4.2</v>
      </c>
      <c r="AI70">
        <v>11.9</v>
      </c>
      <c r="AJ70">
        <v>2.6</v>
      </c>
      <c r="AK70">
        <v>5.9</v>
      </c>
      <c r="AL70">
        <v>29.4</v>
      </c>
      <c r="AM70">
        <v>100.7</v>
      </c>
      <c r="AN70">
        <v>13.2</v>
      </c>
      <c r="AO70">
        <v>18.100000000000001</v>
      </c>
      <c r="AP70">
        <v>11.8</v>
      </c>
      <c r="AQ70">
        <v>5.4</v>
      </c>
      <c r="AR70">
        <v>1.23</v>
      </c>
      <c r="AS70">
        <v>29.4</v>
      </c>
      <c r="AT70">
        <v>62.1</v>
      </c>
      <c r="AU70">
        <v>68.599999999999994</v>
      </c>
      <c r="AV70">
        <v>26.4</v>
      </c>
      <c r="AW70">
        <v>7476</v>
      </c>
      <c r="AX70" t="s">
        <v>765</v>
      </c>
      <c r="AY70" t="s">
        <v>766</v>
      </c>
      <c r="AZ70">
        <v>281.39999999999998</v>
      </c>
      <c r="BA70">
        <v>33.299999999999997</v>
      </c>
      <c r="BB70">
        <v>5.4</v>
      </c>
      <c r="BC70">
        <v>5.9</v>
      </c>
      <c r="BD70">
        <v>5.4</v>
      </c>
      <c r="BE70">
        <v>5.9</v>
      </c>
    </row>
    <row r="71" spans="1:57" x14ac:dyDescent="0.25">
      <c r="A71" t="s">
        <v>686</v>
      </c>
      <c r="C71" t="s">
        <v>39</v>
      </c>
      <c r="D71">
        <v>1</v>
      </c>
      <c r="E71" t="s">
        <v>40</v>
      </c>
      <c r="F71" t="s">
        <v>49</v>
      </c>
      <c r="G71">
        <v>1222</v>
      </c>
      <c r="H71">
        <v>0</v>
      </c>
      <c r="I71">
        <v>1</v>
      </c>
      <c r="J71">
        <v>1</v>
      </c>
      <c r="K71" t="s">
        <v>1194</v>
      </c>
      <c r="L71" t="s">
        <v>721</v>
      </c>
      <c r="M71" t="s">
        <v>721</v>
      </c>
      <c r="P71" t="s">
        <v>73</v>
      </c>
      <c r="Q71">
        <v>6</v>
      </c>
      <c r="R71">
        <v>7.4740000000000002</v>
      </c>
      <c r="S71">
        <v>6.11</v>
      </c>
      <c r="T71">
        <v>22.1</v>
      </c>
      <c r="U71">
        <v>6</v>
      </c>
      <c r="V71">
        <v>101</v>
      </c>
      <c r="W71">
        <v>100.1</v>
      </c>
      <c r="X71">
        <v>0.8</v>
      </c>
      <c r="Y71">
        <v>-1</v>
      </c>
      <c r="Z71">
        <v>0.1</v>
      </c>
      <c r="AB71">
        <v>3</v>
      </c>
      <c r="AC71">
        <v>150</v>
      </c>
      <c r="AD71">
        <v>1.28</v>
      </c>
      <c r="AE71">
        <v>101</v>
      </c>
      <c r="AF71" t="s">
        <v>610</v>
      </c>
      <c r="AG71">
        <v>2.4</v>
      </c>
      <c r="AI71">
        <v>13.9</v>
      </c>
      <c r="AJ71">
        <v>2.62</v>
      </c>
      <c r="AK71">
        <v>10</v>
      </c>
      <c r="AL71">
        <v>32.799999999999997</v>
      </c>
      <c r="AM71">
        <v>100.5</v>
      </c>
      <c r="AN71">
        <v>15.7</v>
      </c>
      <c r="AO71">
        <v>18.7</v>
      </c>
      <c r="AP71">
        <v>13.4</v>
      </c>
      <c r="AQ71">
        <v>9</v>
      </c>
      <c r="AR71">
        <v>1.33</v>
      </c>
      <c r="AS71">
        <v>33.6</v>
      </c>
      <c r="AT71">
        <v>69.900000000000006</v>
      </c>
      <c r="AU71">
        <v>78.400000000000006</v>
      </c>
      <c r="AV71">
        <v>29.8</v>
      </c>
      <c r="AW71">
        <v>7519</v>
      </c>
      <c r="AX71" t="s">
        <v>1195</v>
      </c>
      <c r="AY71" t="s">
        <v>1196</v>
      </c>
      <c r="AZ71">
        <v>316.10000000000002</v>
      </c>
      <c r="BA71">
        <v>33.6</v>
      </c>
      <c r="BB71">
        <v>9</v>
      </c>
      <c r="BC71">
        <v>10</v>
      </c>
      <c r="BD71">
        <v>9</v>
      </c>
      <c r="BE71">
        <v>10</v>
      </c>
    </row>
    <row r="72" spans="1:57" x14ac:dyDescent="0.25">
      <c r="A72" t="s">
        <v>805</v>
      </c>
      <c r="C72" t="s">
        <v>43</v>
      </c>
      <c r="D72">
        <v>1</v>
      </c>
      <c r="E72" t="s">
        <v>146</v>
      </c>
      <c r="F72" t="s">
        <v>49</v>
      </c>
      <c r="G72">
        <v>1065.9000000000001</v>
      </c>
      <c r="H72">
        <v>0</v>
      </c>
      <c r="I72">
        <v>1</v>
      </c>
      <c r="J72">
        <v>0</v>
      </c>
      <c r="K72" t="s">
        <v>1286</v>
      </c>
      <c r="L72" t="s">
        <v>721</v>
      </c>
      <c r="M72" t="s">
        <v>721</v>
      </c>
      <c r="P72" t="s">
        <v>74</v>
      </c>
      <c r="Q72">
        <v>5.7</v>
      </c>
      <c r="R72">
        <v>7.5039999999999996</v>
      </c>
      <c r="S72">
        <v>5.0599999999999996</v>
      </c>
      <c r="T72">
        <v>24.3</v>
      </c>
      <c r="U72">
        <v>5.7</v>
      </c>
      <c r="V72">
        <v>101</v>
      </c>
      <c r="W72">
        <v>100.2</v>
      </c>
      <c r="X72">
        <v>0.7</v>
      </c>
      <c r="Y72">
        <v>-1</v>
      </c>
      <c r="Z72">
        <v>0.1</v>
      </c>
      <c r="AB72">
        <v>3.7</v>
      </c>
      <c r="AC72">
        <v>162</v>
      </c>
      <c r="AD72">
        <v>0.98</v>
      </c>
      <c r="AE72">
        <v>109</v>
      </c>
      <c r="AF72" t="s">
        <v>963</v>
      </c>
      <c r="AG72">
        <v>1.7</v>
      </c>
      <c r="AI72">
        <v>13.2</v>
      </c>
      <c r="AJ72">
        <v>2.5299999999999998</v>
      </c>
      <c r="AK72">
        <v>6.8</v>
      </c>
      <c r="AL72">
        <v>30.2</v>
      </c>
      <c r="AM72">
        <v>100.5</v>
      </c>
      <c r="AN72">
        <v>23.2</v>
      </c>
      <c r="AO72">
        <v>26.9</v>
      </c>
      <c r="AP72">
        <v>12.7</v>
      </c>
      <c r="AQ72">
        <v>6.3</v>
      </c>
      <c r="AR72">
        <v>1.04</v>
      </c>
      <c r="AS72">
        <v>29.9</v>
      </c>
      <c r="AT72">
        <v>62.4</v>
      </c>
      <c r="AU72">
        <v>69.599999999999994</v>
      </c>
      <c r="AV72">
        <v>28.1</v>
      </c>
      <c r="AW72">
        <v>7487</v>
      </c>
      <c r="AX72" t="s">
        <v>1287</v>
      </c>
      <c r="AY72" t="s">
        <v>1288</v>
      </c>
      <c r="AZ72">
        <v>326.5</v>
      </c>
      <c r="BA72">
        <v>31.3</v>
      </c>
      <c r="BB72">
        <v>6.3</v>
      </c>
      <c r="BC72">
        <v>6.8</v>
      </c>
      <c r="BD72">
        <v>6.3</v>
      </c>
      <c r="BE72">
        <v>6.8</v>
      </c>
    </row>
    <row r="73" spans="1:57" x14ac:dyDescent="0.25">
      <c r="A73" t="s">
        <v>837</v>
      </c>
      <c r="B73">
        <v>108</v>
      </c>
      <c r="C73" t="s">
        <v>47</v>
      </c>
      <c r="D73">
        <v>1</v>
      </c>
      <c r="E73" t="s">
        <v>146</v>
      </c>
      <c r="F73" t="s">
        <v>60</v>
      </c>
      <c r="G73">
        <v>1174</v>
      </c>
      <c r="H73">
        <v>0</v>
      </c>
      <c r="I73">
        <v>1</v>
      </c>
      <c r="J73">
        <v>0</v>
      </c>
      <c r="K73" t="s">
        <v>1292</v>
      </c>
      <c r="L73" t="s">
        <v>721</v>
      </c>
      <c r="M73" t="s">
        <v>721</v>
      </c>
      <c r="P73" t="s">
        <v>75</v>
      </c>
      <c r="Q73">
        <v>6.2</v>
      </c>
      <c r="R73">
        <v>7.4870000000000001</v>
      </c>
      <c r="S73">
        <v>5.71</v>
      </c>
      <c r="T73">
        <v>16.3</v>
      </c>
      <c r="U73">
        <v>6.2</v>
      </c>
      <c r="V73">
        <v>100.4</v>
      </c>
      <c r="W73">
        <v>99.7</v>
      </c>
      <c r="X73">
        <v>0.6</v>
      </c>
      <c r="Y73">
        <v>-0.4</v>
      </c>
      <c r="Z73">
        <v>0.1</v>
      </c>
      <c r="AB73">
        <v>5</v>
      </c>
      <c r="AC73">
        <v>140</v>
      </c>
      <c r="AD73">
        <v>1.44</v>
      </c>
      <c r="AE73">
        <v>98</v>
      </c>
      <c r="AF73" t="s">
        <v>741</v>
      </c>
      <c r="AG73">
        <v>1.8</v>
      </c>
      <c r="AI73">
        <v>14.1</v>
      </c>
      <c r="AJ73">
        <v>2.59</v>
      </c>
      <c r="AK73">
        <v>9</v>
      </c>
      <c r="AL73">
        <v>32</v>
      </c>
      <c r="AM73">
        <v>100.5</v>
      </c>
      <c r="AN73">
        <v>9.8000000000000007</v>
      </c>
      <c r="AO73">
        <v>14.8</v>
      </c>
      <c r="AP73">
        <v>13.7</v>
      </c>
      <c r="AQ73">
        <v>8.1999999999999993</v>
      </c>
      <c r="AR73">
        <v>1.51</v>
      </c>
      <c r="AS73">
        <v>32.4</v>
      </c>
      <c r="AT73">
        <v>67.099999999999994</v>
      </c>
      <c r="AU73">
        <v>75.5</v>
      </c>
      <c r="AV73">
        <v>30.5</v>
      </c>
      <c r="AW73">
        <v>7510</v>
      </c>
      <c r="AX73" t="s">
        <v>803</v>
      </c>
      <c r="AY73" t="s">
        <v>1260</v>
      </c>
      <c r="AZ73">
        <v>290.8</v>
      </c>
      <c r="BA73">
        <v>32.6</v>
      </c>
      <c r="BB73">
        <v>8.1999999999999993</v>
      </c>
      <c r="BC73">
        <v>9</v>
      </c>
      <c r="BD73">
        <v>8.1999999999999993</v>
      </c>
      <c r="BE73">
        <v>9</v>
      </c>
    </row>
    <row r="74" spans="1:57" x14ac:dyDescent="0.25">
      <c r="A74" t="s">
        <v>650</v>
      </c>
      <c r="B74">
        <v>105</v>
      </c>
      <c r="C74" t="s">
        <v>49</v>
      </c>
      <c r="D74">
        <v>1</v>
      </c>
      <c r="E74" t="s">
        <v>40</v>
      </c>
      <c r="F74" t="s">
        <v>49</v>
      </c>
      <c r="G74">
        <v>1038.5</v>
      </c>
      <c r="H74">
        <v>0</v>
      </c>
      <c r="I74">
        <v>1</v>
      </c>
      <c r="J74">
        <v>1</v>
      </c>
      <c r="K74" t="s">
        <v>1207</v>
      </c>
      <c r="L74" t="s">
        <v>721</v>
      </c>
      <c r="M74" t="s">
        <v>721</v>
      </c>
      <c r="P74" t="s">
        <v>76</v>
      </c>
      <c r="Q74">
        <v>5.2</v>
      </c>
      <c r="R74">
        <v>7.4530000000000003</v>
      </c>
      <c r="S74">
        <v>6</v>
      </c>
      <c r="T74">
        <v>6.62</v>
      </c>
      <c r="U74">
        <v>5.2</v>
      </c>
      <c r="V74">
        <v>94.9</v>
      </c>
      <c r="W74">
        <v>93.7</v>
      </c>
      <c r="X74">
        <v>1</v>
      </c>
      <c r="Y74">
        <v>5</v>
      </c>
      <c r="Z74">
        <v>0.3</v>
      </c>
      <c r="AB74">
        <v>3.2</v>
      </c>
      <c r="AC74">
        <v>149</v>
      </c>
      <c r="AD74">
        <v>1.26</v>
      </c>
      <c r="AE74">
        <v>105</v>
      </c>
      <c r="AF74" t="s">
        <v>1208</v>
      </c>
      <c r="AG74">
        <v>2.9</v>
      </c>
      <c r="AI74">
        <v>11.1</v>
      </c>
      <c r="AJ74">
        <v>2.11</v>
      </c>
      <c r="AK74">
        <v>7.5</v>
      </c>
      <c r="AL74">
        <v>30.6</v>
      </c>
      <c r="AM74">
        <v>100.5</v>
      </c>
      <c r="AN74">
        <v>12.9</v>
      </c>
      <c r="AO74">
        <v>16.100000000000001</v>
      </c>
      <c r="AP74">
        <v>11.6</v>
      </c>
      <c r="AQ74">
        <v>6.8</v>
      </c>
      <c r="AR74">
        <v>1.3</v>
      </c>
      <c r="AS74">
        <v>31.5</v>
      </c>
      <c r="AT74">
        <v>66.8</v>
      </c>
      <c r="AU74">
        <v>73.599999999999994</v>
      </c>
      <c r="AV74">
        <v>25.9</v>
      </c>
      <c r="AW74">
        <v>7492</v>
      </c>
      <c r="AX74" t="s">
        <v>1209</v>
      </c>
      <c r="AY74" t="s">
        <v>1210</v>
      </c>
      <c r="AZ74">
        <v>315.2</v>
      </c>
      <c r="BA74">
        <v>35.299999999999997</v>
      </c>
      <c r="BB74">
        <v>6.8</v>
      </c>
      <c r="BC74">
        <v>7.5</v>
      </c>
      <c r="BD74">
        <v>6.7</v>
      </c>
      <c r="BE74">
        <v>7.5</v>
      </c>
    </row>
    <row r="75" spans="1:57" x14ac:dyDescent="0.25">
      <c r="A75" t="s">
        <v>842</v>
      </c>
      <c r="B75">
        <v>106</v>
      </c>
      <c r="C75" t="s">
        <v>51</v>
      </c>
      <c r="D75">
        <v>1</v>
      </c>
      <c r="E75" t="s">
        <v>146</v>
      </c>
      <c r="F75" t="s">
        <v>49</v>
      </c>
      <c r="G75">
        <v>932.1</v>
      </c>
      <c r="H75">
        <v>0</v>
      </c>
      <c r="I75">
        <v>1</v>
      </c>
      <c r="J75">
        <v>0</v>
      </c>
      <c r="K75" t="s">
        <v>1289</v>
      </c>
      <c r="L75" t="s">
        <v>721</v>
      </c>
      <c r="M75" t="s">
        <v>721</v>
      </c>
      <c r="P75" t="s">
        <v>77</v>
      </c>
      <c r="Q75">
        <v>6.3</v>
      </c>
      <c r="R75">
        <v>7.4820000000000002</v>
      </c>
      <c r="S75">
        <v>6.05</v>
      </c>
      <c r="T75">
        <v>20.7</v>
      </c>
      <c r="U75">
        <v>6.3</v>
      </c>
      <c r="V75">
        <v>100.4</v>
      </c>
      <c r="W75">
        <v>99.5</v>
      </c>
      <c r="X75">
        <v>0.6</v>
      </c>
      <c r="Y75">
        <v>-0.4</v>
      </c>
      <c r="Z75">
        <v>0.3</v>
      </c>
      <c r="AB75">
        <v>4</v>
      </c>
      <c r="AC75">
        <v>143</v>
      </c>
      <c r="AD75">
        <v>1.31</v>
      </c>
      <c r="AE75">
        <v>97</v>
      </c>
      <c r="AF75" t="s">
        <v>752</v>
      </c>
      <c r="AG75">
        <v>1.7</v>
      </c>
      <c r="AI75">
        <v>14.4</v>
      </c>
      <c r="AJ75">
        <v>2.5499999999999998</v>
      </c>
      <c r="AK75">
        <v>10.5</v>
      </c>
      <c r="AL75">
        <v>33.200000000000003</v>
      </c>
      <c r="AM75">
        <v>100.5</v>
      </c>
      <c r="AN75">
        <v>12.3</v>
      </c>
      <c r="AO75">
        <v>16.2</v>
      </c>
      <c r="AP75">
        <v>13.9</v>
      </c>
      <c r="AQ75">
        <v>9.4</v>
      </c>
      <c r="AR75">
        <v>1.37</v>
      </c>
      <c r="AS75">
        <v>34</v>
      </c>
      <c r="AT75">
        <v>70.3</v>
      </c>
      <c r="AU75">
        <v>79.2</v>
      </c>
      <c r="AV75">
        <v>31</v>
      </c>
      <c r="AW75">
        <v>7525</v>
      </c>
      <c r="AX75" t="s">
        <v>875</v>
      </c>
      <c r="AY75" t="s">
        <v>1290</v>
      </c>
      <c r="AZ75">
        <v>290.2</v>
      </c>
      <c r="BA75">
        <v>32.9</v>
      </c>
      <c r="BB75">
        <v>9.4</v>
      </c>
      <c r="BC75">
        <v>10.5</v>
      </c>
      <c r="BD75">
        <v>9.4</v>
      </c>
      <c r="BE75">
        <v>10.5</v>
      </c>
    </row>
    <row r="76" spans="1:57" x14ac:dyDescent="0.25">
      <c r="A76" t="s">
        <v>617</v>
      </c>
      <c r="B76">
        <v>111</v>
      </c>
      <c r="C76" t="s">
        <v>53</v>
      </c>
      <c r="D76">
        <v>1</v>
      </c>
      <c r="E76" t="s">
        <v>54</v>
      </c>
      <c r="F76" t="s">
        <v>60</v>
      </c>
      <c r="G76">
        <v>1165</v>
      </c>
      <c r="H76">
        <v>0</v>
      </c>
      <c r="I76">
        <v>0</v>
      </c>
      <c r="J76">
        <v>1</v>
      </c>
      <c r="K76" t="s">
        <v>1185</v>
      </c>
      <c r="L76" t="s">
        <v>721</v>
      </c>
      <c r="M76" t="s">
        <v>721</v>
      </c>
      <c r="P76" t="s">
        <v>78</v>
      </c>
      <c r="Q76">
        <v>5.7</v>
      </c>
      <c r="R76">
        <v>7.4550000000000001</v>
      </c>
      <c r="S76">
        <v>6.02</v>
      </c>
      <c r="T76">
        <v>9.98</v>
      </c>
      <c r="U76">
        <v>5.7</v>
      </c>
      <c r="V76">
        <v>99.3</v>
      </c>
      <c r="W76">
        <v>98.2</v>
      </c>
      <c r="X76">
        <v>0.8</v>
      </c>
      <c r="Y76">
        <v>0.7</v>
      </c>
      <c r="Z76">
        <v>0.3</v>
      </c>
      <c r="AB76">
        <v>3.3</v>
      </c>
      <c r="AC76">
        <v>158</v>
      </c>
      <c r="AD76">
        <v>1.29</v>
      </c>
      <c r="AE76">
        <v>111</v>
      </c>
      <c r="AF76" t="s">
        <v>911</v>
      </c>
      <c r="AG76">
        <v>2</v>
      </c>
      <c r="AI76">
        <v>12.9</v>
      </c>
      <c r="AJ76">
        <v>2.7</v>
      </c>
      <c r="AK76">
        <v>7.8</v>
      </c>
      <c r="AL76">
        <v>30.9</v>
      </c>
      <c r="AM76">
        <v>100.5</v>
      </c>
      <c r="AN76">
        <v>15.1</v>
      </c>
      <c r="AO76">
        <v>18.5</v>
      </c>
      <c r="AP76">
        <v>12.7</v>
      </c>
      <c r="AQ76">
        <v>7.1</v>
      </c>
      <c r="AR76">
        <v>1.33</v>
      </c>
      <c r="AS76">
        <v>31.7</v>
      </c>
      <c r="AT76">
        <v>66.7</v>
      </c>
      <c r="AU76">
        <v>74.2</v>
      </c>
      <c r="AV76">
        <v>28.3</v>
      </c>
      <c r="AW76">
        <v>7495</v>
      </c>
      <c r="AX76" t="s">
        <v>1186</v>
      </c>
      <c r="AY76" t="s">
        <v>1187</v>
      </c>
      <c r="AZ76">
        <v>332.1</v>
      </c>
      <c r="BA76">
        <v>35</v>
      </c>
      <c r="BB76">
        <v>7.1</v>
      </c>
      <c r="BC76">
        <v>7.8</v>
      </c>
      <c r="BD76">
        <v>7</v>
      </c>
      <c r="BE76">
        <v>7.8</v>
      </c>
    </row>
    <row r="77" spans="1:57" x14ac:dyDescent="0.25">
      <c r="A77" t="s">
        <v>691</v>
      </c>
      <c r="B77">
        <v>107</v>
      </c>
      <c r="C77" t="s">
        <v>56</v>
      </c>
      <c r="D77">
        <v>1</v>
      </c>
      <c r="E77" t="s">
        <v>40</v>
      </c>
      <c r="F77" t="s">
        <v>60</v>
      </c>
      <c r="G77">
        <v>1075</v>
      </c>
      <c r="H77">
        <v>0</v>
      </c>
      <c r="I77">
        <v>1</v>
      </c>
      <c r="J77">
        <v>1</v>
      </c>
      <c r="K77" t="s">
        <v>1218</v>
      </c>
      <c r="L77" t="s">
        <v>721</v>
      </c>
      <c r="M77" t="s">
        <v>721</v>
      </c>
      <c r="P77" t="s">
        <v>79</v>
      </c>
      <c r="Q77">
        <v>6.5</v>
      </c>
      <c r="R77">
        <v>7.57</v>
      </c>
      <c r="S77">
        <v>4.2300000000000004</v>
      </c>
      <c r="T77">
        <v>9.9</v>
      </c>
      <c r="U77">
        <v>6.5</v>
      </c>
      <c r="V77">
        <v>99.2</v>
      </c>
      <c r="W77">
        <v>98.2</v>
      </c>
      <c r="X77">
        <v>0.7</v>
      </c>
      <c r="Y77">
        <v>0.8</v>
      </c>
      <c r="Z77">
        <v>0.3</v>
      </c>
      <c r="AB77">
        <v>3.6</v>
      </c>
      <c r="AC77">
        <v>163</v>
      </c>
      <c r="AD77">
        <v>0.91</v>
      </c>
      <c r="AE77">
        <v>117</v>
      </c>
      <c r="AF77" t="s">
        <v>640</v>
      </c>
      <c r="AG77">
        <v>2.6</v>
      </c>
      <c r="AI77">
        <v>14.5</v>
      </c>
      <c r="AJ77">
        <v>2.3199999999999998</v>
      </c>
      <c r="AK77">
        <v>7</v>
      </c>
      <c r="AL77">
        <v>30.7</v>
      </c>
      <c r="AM77">
        <v>100.5</v>
      </c>
      <c r="AN77">
        <v>16.7</v>
      </c>
      <c r="AO77">
        <v>20.399999999999999</v>
      </c>
      <c r="AP77">
        <v>14.3</v>
      </c>
      <c r="AQ77">
        <v>6.9</v>
      </c>
      <c r="AR77">
        <v>1</v>
      </c>
      <c r="AS77">
        <v>29</v>
      </c>
      <c r="AT77">
        <v>59.2</v>
      </c>
      <c r="AU77">
        <v>67.3</v>
      </c>
      <c r="AV77">
        <v>31.9</v>
      </c>
      <c r="AW77">
        <v>7495</v>
      </c>
      <c r="AX77" t="s">
        <v>1219</v>
      </c>
      <c r="AY77" t="s">
        <v>1220</v>
      </c>
      <c r="AZ77">
        <v>347.5</v>
      </c>
      <c r="BA77">
        <v>26.9</v>
      </c>
      <c r="BB77">
        <v>6.9</v>
      </c>
      <c r="BC77">
        <v>7</v>
      </c>
      <c r="BD77">
        <v>6.9</v>
      </c>
      <c r="BE77">
        <v>7</v>
      </c>
    </row>
    <row r="78" spans="1:57" x14ac:dyDescent="0.25">
      <c r="A78" t="s">
        <v>734</v>
      </c>
      <c r="C78" t="s">
        <v>80</v>
      </c>
      <c r="D78">
        <v>1</v>
      </c>
      <c r="E78" t="s">
        <v>142</v>
      </c>
      <c r="F78" t="s">
        <v>60</v>
      </c>
      <c r="G78">
        <v>1324.5</v>
      </c>
      <c r="H78">
        <v>1</v>
      </c>
      <c r="I78">
        <v>1</v>
      </c>
      <c r="J78">
        <v>0</v>
      </c>
      <c r="K78" t="s">
        <v>1240</v>
      </c>
      <c r="L78" t="s">
        <v>721</v>
      </c>
      <c r="M78" t="s">
        <v>721</v>
      </c>
      <c r="P78" t="s">
        <v>81</v>
      </c>
      <c r="Q78">
        <v>4.5</v>
      </c>
      <c r="R78">
        <v>7.4550000000000001</v>
      </c>
      <c r="S78">
        <v>6.05</v>
      </c>
      <c r="T78">
        <v>8.57</v>
      </c>
      <c r="U78">
        <v>4.5</v>
      </c>
      <c r="V78">
        <v>101.4</v>
      </c>
      <c r="W78">
        <v>96.9</v>
      </c>
      <c r="X78">
        <v>3.5</v>
      </c>
      <c r="Y78">
        <v>-1.3</v>
      </c>
      <c r="Z78">
        <v>0.9</v>
      </c>
      <c r="AB78">
        <v>3.9</v>
      </c>
      <c r="AC78">
        <v>154</v>
      </c>
      <c r="AD78">
        <v>0.92</v>
      </c>
      <c r="AE78">
        <v>109</v>
      </c>
      <c r="AF78" t="s">
        <v>772</v>
      </c>
      <c r="AG78">
        <v>3.3</v>
      </c>
      <c r="AI78">
        <v>9.8000000000000007</v>
      </c>
      <c r="AJ78">
        <v>3.24</v>
      </c>
      <c r="AK78">
        <v>7.9</v>
      </c>
      <c r="AL78">
        <v>31.1</v>
      </c>
      <c r="AM78">
        <v>100.5</v>
      </c>
      <c r="AN78">
        <v>13.6</v>
      </c>
      <c r="AO78">
        <v>17.5</v>
      </c>
      <c r="AP78">
        <v>9.6</v>
      </c>
      <c r="AQ78">
        <v>7.2</v>
      </c>
      <c r="AR78">
        <v>0.95</v>
      </c>
      <c r="AS78">
        <v>31.9</v>
      </c>
      <c r="AT78">
        <v>68.599999999999994</v>
      </c>
      <c r="AU78">
        <v>74.5</v>
      </c>
      <c r="AV78">
        <v>22</v>
      </c>
      <c r="AW78">
        <v>7498</v>
      </c>
      <c r="AX78" t="s">
        <v>875</v>
      </c>
      <c r="AY78" t="s">
        <v>1241</v>
      </c>
      <c r="AZ78">
        <v>312.60000000000002</v>
      </c>
      <c r="BA78">
        <v>35.1</v>
      </c>
      <c r="BB78">
        <v>7.2</v>
      </c>
      <c r="BC78">
        <v>7.9</v>
      </c>
      <c r="BD78">
        <v>7.2</v>
      </c>
      <c r="BE78">
        <v>7.9</v>
      </c>
    </row>
    <row r="79" spans="1:57" x14ac:dyDescent="0.25">
      <c r="A79" t="s">
        <v>711</v>
      </c>
      <c r="C79" t="s">
        <v>82</v>
      </c>
      <c r="D79">
        <v>1</v>
      </c>
      <c r="E79" t="s">
        <v>71</v>
      </c>
      <c r="F79" t="s">
        <v>60</v>
      </c>
      <c r="G79">
        <v>1206.8</v>
      </c>
      <c r="H79">
        <v>0</v>
      </c>
      <c r="I79">
        <v>0</v>
      </c>
      <c r="J79">
        <v>0</v>
      </c>
      <c r="K79" t="s">
        <v>1228</v>
      </c>
      <c r="L79" t="s">
        <v>721</v>
      </c>
      <c r="M79" t="s">
        <v>721</v>
      </c>
      <c r="P79" t="s">
        <v>83</v>
      </c>
      <c r="Q79">
        <v>5.5</v>
      </c>
      <c r="R79">
        <v>7.4320000000000004</v>
      </c>
      <c r="S79">
        <v>6.82</v>
      </c>
      <c r="T79">
        <v>13.2</v>
      </c>
      <c r="U79">
        <v>5.5</v>
      </c>
      <c r="V79">
        <v>100.3</v>
      </c>
      <c r="W79">
        <v>99.1</v>
      </c>
      <c r="X79">
        <v>0.9</v>
      </c>
      <c r="Y79">
        <v>-0.3</v>
      </c>
      <c r="Z79">
        <v>0.3</v>
      </c>
      <c r="AB79">
        <v>4.5999999999999996</v>
      </c>
      <c r="AC79">
        <v>141</v>
      </c>
      <c r="AD79">
        <v>1.4</v>
      </c>
      <c r="AE79">
        <v>99</v>
      </c>
      <c r="AF79" t="s">
        <v>1094</v>
      </c>
      <c r="AG79">
        <v>1.3</v>
      </c>
      <c r="AI79">
        <v>12.6</v>
      </c>
      <c r="AJ79">
        <v>2.79</v>
      </c>
      <c r="AK79">
        <v>9.8000000000000007</v>
      </c>
      <c r="AL79">
        <v>32.5</v>
      </c>
      <c r="AM79">
        <v>100.5</v>
      </c>
      <c r="AN79">
        <v>8.5</v>
      </c>
      <c r="AO79">
        <v>13.1</v>
      </c>
      <c r="AP79">
        <v>12.3</v>
      </c>
      <c r="AQ79">
        <v>8.6999999999999993</v>
      </c>
      <c r="AR79">
        <v>1.43</v>
      </c>
      <c r="AS79">
        <v>34.1</v>
      </c>
      <c r="AT79">
        <v>72.2</v>
      </c>
      <c r="AU79">
        <v>80</v>
      </c>
      <c r="AV79">
        <v>27.4</v>
      </c>
      <c r="AW79">
        <v>7515</v>
      </c>
      <c r="AX79" t="s">
        <v>1229</v>
      </c>
      <c r="AY79" t="s">
        <v>1230</v>
      </c>
      <c r="AZ79">
        <v>285.89999999999998</v>
      </c>
      <c r="BA79">
        <v>37</v>
      </c>
      <c r="BB79">
        <v>8.6999999999999993</v>
      </c>
      <c r="BC79">
        <v>9.8000000000000007</v>
      </c>
      <c r="BD79">
        <v>8.6999999999999993</v>
      </c>
      <c r="BE79">
        <v>9.8000000000000007</v>
      </c>
    </row>
    <row r="80" spans="1:57" x14ac:dyDescent="0.25">
      <c r="A80" t="s">
        <v>626</v>
      </c>
      <c r="B80">
        <v>113</v>
      </c>
      <c r="C80" t="s">
        <v>58</v>
      </c>
      <c r="D80">
        <v>1</v>
      </c>
      <c r="E80" t="s">
        <v>54</v>
      </c>
      <c r="F80" t="s">
        <v>49</v>
      </c>
      <c r="G80">
        <v>1129</v>
      </c>
      <c r="H80">
        <v>0</v>
      </c>
      <c r="I80">
        <v>0</v>
      </c>
      <c r="J80">
        <v>1</v>
      </c>
      <c r="K80" t="s">
        <v>1176</v>
      </c>
      <c r="L80" t="s">
        <v>721</v>
      </c>
      <c r="M80" t="s">
        <v>721</v>
      </c>
      <c r="P80" t="s">
        <v>84</v>
      </c>
      <c r="Q80">
        <v>6.1</v>
      </c>
      <c r="R80">
        <v>7.3929999999999998</v>
      </c>
      <c r="S80">
        <v>7.28</v>
      </c>
      <c r="T80">
        <v>7.1</v>
      </c>
      <c r="U80">
        <v>6.1</v>
      </c>
      <c r="V80">
        <v>92.8</v>
      </c>
      <c r="W80">
        <v>91.8</v>
      </c>
      <c r="X80">
        <v>0.9</v>
      </c>
      <c r="Y80">
        <v>7.1</v>
      </c>
      <c r="Z80">
        <v>0.2</v>
      </c>
      <c r="AB80">
        <v>3.8</v>
      </c>
      <c r="AC80">
        <v>138</v>
      </c>
      <c r="AD80">
        <v>1.43</v>
      </c>
      <c r="AE80">
        <v>97</v>
      </c>
      <c r="AF80" t="s">
        <v>1177</v>
      </c>
      <c r="AG80">
        <v>1.6</v>
      </c>
      <c r="AI80">
        <v>12.7</v>
      </c>
      <c r="AJ80">
        <v>2.73</v>
      </c>
      <c r="AK80">
        <v>8.3000000000000007</v>
      </c>
      <c r="AL80">
        <v>30.9</v>
      </c>
      <c r="AM80">
        <v>100.5</v>
      </c>
      <c r="AN80">
        <v>7.4</v>
      </c>
      <c r="AO80">
        <v>11.2</v>
      </c>
      <c r="AP80">
        <v>13.5</v>
      </c>
      <c r="AQ80">
        <v>7.1</v>
      </c>
      <c r="AR80">
        <v>1.42</v>
      </c>
      <c r="AS80">
        <v>33.200000000000003</v>
      </c>
      <c r="AT80">
        <v>70.099999999999994</v>
      </c>
      <c r="AU80">
        <v>78.2</v>
      </c>
      <c r="AV80">
        <v>30.1</v>
      </c>
      <c r="AW80">
        <v>7495</v>
      </c>
      <c r="AX80" t="s">
        <v>1178</v>
      </c>
      <c r="AY80" t="s">
        <v>1179</v>
      </c>
      <c r="AZ80">
        <v>294</v>
      </c>
      <c r="BA80">
        <v>40.5</v>
      </c>
      <c r="BB80">
        <v>7.1</v>
      </c>
      <c r="BC80">
        <v>8.3000000000000007</v>
      </c>
      <c r="BD80">
        <v>7</v>
      </c>
      <c r="BE80">
        <v>8.1999999999999993</v>
      </c>
    </row>
    <row r="81" spans="1:57" x14ac:dyDescent="0.25">
      <c r="A81" t="s">
        <v>779</v>
      </c>
      <c r="B81">
        <v>114</v>
      </c>
      <c r="C81" t="s">
        <v>60</v>
      </c>
      <c r="D81">
        <v>1</v>
      </c>
      <c r="E81" t="s">
        <v>142</v>
      </c>
      <c r="F81" t="s">
        <v>49</v>
      </c>
      <c r="G81">
        <v>1191</v>
      </c>
      <c r="H81">
        <v>1</v>
      </c>
      <c r="I81">
        <v>1</v>
      </c>
      <c r="J81">
        <v>0</v>
      </c>
      <c r="K81" t="s">
        <v>1246</v>
      </c>
      <c r="L81" t="s">
        <v>721</v>
      </c>
      <c r="M81" t="s">
        <v>721</v>
      </c>
      <c r="P81" t="s">
        <v>85</v>
      </c>
      <c r="Q81">
        <v>6</v>
      </c>
      <c r="R81">
        <v>7.4279999999999999</v>
      </c>
      <c r="S81">
        <v>6.62</v>
      </c>
      <c r="T81">
        <v>15.7</v>
      </c>
      <c r="U81">
        <v>6</v>
      </c>
      <c r="V81">
        <v>100.6</v>
      </c>
      <c r="W81">
        <v>99.5</v>
      </c>
      <c r="X81">
        <v>0.9</v>
      </c>
      <c r="Y81">
        <v>-0.6</v>
      </c>
      <c r="Z81">
        <v>0.2</v>
      </c>
      <c r="AB81">
        <v>4.2</v>
      </c>
      <c r="AC81">
        <v>151</v>
      </c>
      <c r="AD81">
        <v>1.03</v>
      </c>
      <c r="AE81">
        <v>101</v>
      </c>
      <c r="AF81" t="s">
        <v>966</v>
      </c>
      <c r="AG81">
        <v>1.5</v>
      </c>
      <c r="AI81">
        <v>13.7</v>
      </c>
      <c r="AJ81">
        <v>2.76</v>
      </c>
      <c r="AK81">
        <v>8.4</v>
      </c>
      <c r="AL81">
        <v>31.2</v>
      </c>
      <c r="AM81">
        <v>100.5</v>
      </c>
      <c r="AN81">
        <v>16.7</v>
      </c>
      <c r="AO81">
        <v>20.9</v>
      </c>
      <c r="AP81">
        <v>13.3</v>
      </c>
      <c r="AQ81">
        <v>7.4</v>
      </c>
      <c r="AR81">
        <v>1.05</v>
      </c>
      <c r="AS81">
        <v>32.700000000000003</v>
      </c>
      <c r="AT81">
        <v>68.7</v>
      </c>
      <c r="AU81">
        <v>76.8</v>
      </c>
      <c r="AV81">
        <v>29.7</v>
      </c>
      <c r="AW81">
        <v>7499</v>
      </c>
      <c r="AX81" t="s">
        <v>1247</v>
      </c>
      <c r="AY81" t="s">
        <v>1248</v>
      </c>
      <c r="AZ81">
        <v>304.3</v>
      </c>
      <c r="BA81">
        <v>37.4</v>
      </c>
      <c r="BB81">
        <v>7.4</v>
      </c>
      <c r="BC81">
        <v>8.4</v>
      </c>
      <c r="BD81">
        <v>7.4</v>
      </c>
      <c r="BE81">
        <v>8.4</v>
      </c>
    </row>
    <row r="82" spans="1:57" x14ac:dyDescent="0.25">
      <c r="A82" t="s">
        <v>678</v>
      </c>
      <c r="C82" t="s">
        <v>62</v>
      </c>
      <c r="D82">
        <v>1</v>
      </c>
      <c r="E82" t="s">
        <v>40</v>
      </c>
      <c r="F82" t="s">
        <v>60</v>
      </c>
      <c r="G82">
        <v>1468</v>
      </c>
      <c r="H82">
        <v>0</v>
      </c>
      <c r="I82">
        <v>1</v>
      </c>
      <c r="J82">
        <v>1</v>
      </c>
      <c r="K82" t="s">
        <v>1213</v>
      </c>
      <c r="L82" t="s">
        <v>721</v>
      </c>
      <c r="M82" t="s">
        <v>721</v>
      </c>
      <c r="P82" t="s">
        <v>86</v>
      </c>
      <c r="Q82">
        <v>4.5999999999999996</v>
      </c>
      <c r="R82">
        <v>7.3710000000000004</v>
      </c>
      <c r="S82">
        <v>7.54</v>
      </c>
      <c r="T82">
        <v>39.299999999999997</v>
      </c>
      <c r="U82">
        <v>4.5999999999999996</v>
      </c>
      <c r="V82">
        <v>105.8</v>
      </c>
      <c r="W82">
        <v>102.1</v>
      </c>
      <c r="X82">
        <v>2.8</v>
      </c>
      <c r="Y82">
        <v>-5.6</v>
      </c>
      <c r="Z82">
        <v>0.7</v>
      </c>
      <c r="AB82">
        <v>2.9</v>
      </c>
      <c r="AC82">
        <v>160</v>
      </c>
      <c r="AD82">
        <v>1.2</v>
      </c>
      <c r="AE82">
        <v>114</v>
      </c>
      <c r="AF82" t="s">
        <v>1214</v>
      </c>
      <c r="AG82">
        <v>1.6</v>
      </c>
      <c r="AK82">
        <v>7.5</v>
      </c>
      <c r="AM82">
        <v>100.5</v>
      </c>
      <c r="AN82">
        <v>13.8</v>
      </c>
      <c r="AO82">
        <v>16.7</v>
      </c>
      <c r="AP82">
        <v>9.9</v>
      </c>
      <c r="AQ82">
        <v>6.7</v>
      </c>
      <c r="AR82">
        <v>1.18</v>
      </c>
      <c r="AS82">
        <v>32.799999999999997</v>
      </c>
      <c r="AU82">
        <v>77.3</v>
      </c>
      <c r="AV82">
        <v>22.7</v>
      </c>
      <c r="AW82">
        <v>7489</v>
      </c>
      <c r="AX82" t="s">
        <v>742</v>
      </c>
      <c r="AY82" t="s">
        <v>1215</v>
      </c>
      <c r="AZ82">
        <v>338.1</v>
      </c>
      <c r="BA82">
        <v>42.5</v>
      </c>
      <c r="BB82">
        <v>6.7</v>
      </c>
      <c r="BC82">
        <v>7.5</v>
      </c>
    </row>
    <row r="83" spans="1:57" x14ac:dyDescent="0.25">
      <c r="A83" t="s">
        <v>799</v>
      </c>
      <c r="C83" t="s">
        <v>64</v>
      </c>
      <c r="D83">
        <v>1</v>
      </c>
      <c r="E83" t="s">
        <v>146</v>
      </c>
      <c r="F83" t="s">
        <v>60</v>
      </c>
      <c r="G83">
        <v>1314.8</v>
      </c>
      <c r="H83">
        <v>0</v>
      </c>
      <c r="I83">
        <v>1</v>
      </c>
      <c r="J83">
        <v>0</v>
      </c>
      <c r="K83" t="s">
        <v>1300</v>
      </c>
      <c r="L83" t="s">
        <v>721</v>
      </c>
      <c r="M83" t="s">
        <v>721</v>
      </c>
      <c r="P83" t="s">
        <v>87</v>
      </c>
      <c r="Q83">
        <v>6.2</v>
      </c>
      <c r="R83">
        <v>7.5910000000000002</v>
      </c>
      <c r="S83">
        <v>5.15</v>
      </c>
      <c r="T83">
        <v>38</v>
      </c>
      <c r="U83">
        <v>6.2</v>
      </c>
      <c r="V83">
        <v>101.1</v>
      </c>
      <c r="W83">
        <v>100.6</v>
      </c>
      <c r="X83">
        <v>0.5</v>
      </c>
      <c r="Y83">
        <v>-1.1000000000000001</v>
      </c>
      <c r="Z83">
        <v>0</v>
      </c>
      <c r="AB83">
        <v>4</v>
      </c>
      <c r="AC83">
        <v>158</v>
      </c>
      <c r="AD83">
        <v>1.25</v>
      </c>
      <c r="AE83">
        <v>107</v>
      </c>
      <c r="AF83" t="s">
        <v>728</v>
      </c>
      <c r="AG83">
        <v>2.1</v>
      </c>
      <c r="AI83">
        <v>14.7</v>
      </c>
      <c r="AJ83">
        <v>2.31</v>
      </c>
      <c r="AK83">
        <v>15.4</v>
      </c>
      <c r="AL83">
        <v>38.1</v>
      </c>
      <c r="AM83">
        <v>100.5</v>
      </c>
      <c r="AN83">
        <v>14.5</v>
      </c>
      <c r="AO83">
        <v>18.5</v>
      </c>
      <c r="AP83">
        <v>13.8</v>
      </c>
      <c r="AQ83">
        <v>14.2</v>
      </c>
      <c r="AR83">
        <v>1.39</v>
      </c>
      <c r="AS83">
        <v>37.1</v>
      </c>
      <c r="AT83">
        <v>75.900000000000006</v>
      </c>
      <c r="AU83">
        <v>85.8</v>
      </c>
      <c r="AV83">
        <v>30.7</v>
      </c>
      <c r="AW83">
        <v>7579</v>
      </c>
      <c r="AX83" t="s">
        <v>1301</v>
      </c>
      <c r="AY83" t="s">
        <v>1302</v>
      </c>
      <c r="AZ83">
        <v>320.10000000000002</v>
      </c>
      <c r="BA83">
        <v>25.6</v>
      </c>
      <c r="BB83">
        <v>14.2</v>
      </c>
      <c r="BC83">
        <v>15.4</v>
      </c>
      <c r="BD83">
        <v>14.2</v>
      </c>
      <c r="BE83">
        <v>15.4</v>
      </c>
    </row>
    <row r="84" spans="1:57" x14ac:dyDescent="0.25">
      <c r="A84" t="s">
        <v>739</v>
      </c>
      <c r="C84" t="s">
        <v>66</v>
      </c>
      <c r="D84">
        <v>1</v>
      </c>
      <c r="E84" t="s">
        <v>142</v>
      </c>
      <c r="F84" t="s">
        <v>60</v>
      </c>
      <c r="G84">
        <v>981</v>
      </c>
      <c r="H84">
        <v>1</v>
      </c>
      <c r="I84">
        <v>1</v>
      </c>
      <c r="J84">
        <v>0</v>
      </c>
      <c r="K84" t="s">
        <v>1269</v>
      </c>
      <c r="L84" t="s">
        <v>721</v>
      </c>
      <c r="M84" t="s">
        <v>721</v>
      </c>
      <c r="P84" t="s">
        <v>88</v>
      </c>
      <c r="Q84">
        <v>6.4</v>
      </c>
      <c r="R84">
        <v>7.2709999999999999</v>
      </c>
      <c r="S84">
        <v>9.25</v>
      </c>
      <c r="T84">
        <v>3.78</v>
      </c>
      <c r="U84">
        <v>6.4</v>
      </c>
      <c r="V84">
        <v>59.4</v>
      </c>
      <c r="W84">
        <v>58.3</v>
      </c>
      <c r="X84">
        <v>1.4</v>
      </c>
      <c r="Y84">
        <v>39.799999999999997</v>
      </c>
      <c r="Z84">
        <v>0.5</v>
      </c>
      <c r="AB84">
        <v>4.2</v>
      </c>
      <c r="AC84">
        <v>140</v>
      </c>
      <c r="AD84">
        <v>1.26</v>
      </c>
      <c r="AE84">
        <v>97</v>
      </c>
      <c r="AF84" t="s">
        <v>1079</v>
      </c>
      <c r="AG84">
        <v>3.4</v>
      </c>
      <c r="AI84">
        <v>8.5</v>
      </c>
      <c r="AJ84">
        <v>3.26</v>
      </c>
      <c r="AK84">
        <v>5</v>
      </c>
      <c r="AL84">
        <v>27</v>
      </c>
      <c r="AM84">
        <v>100.5</v>
      </c>
      <c r="AN84">
        <v>10.9</v>
      </c>
      <c r="AO84">
        <v>15.1</v>
      </c>
      <c r="AP84">
        <v>14.1</v>
      </c>
      <c r="AQ84">
        <v>3.6</v>
      </c>
      <c r="AR84">
        <v>1.17</v>
      </c>
      <c r="AS84">
        <v>31.9</v>
      </c>
      <c r="AT84">
        <v>69</v>
      </c>
      <c r="AU84">
        <v>76.3</v>
      </c>
      <c r="AV84">
        <v>31.8</v>
      </c>
      <c r="AW84">
        <v>7444</v>
      </c>
      <c r="AX84" t="s">
        <v>1270</v>
      </c>
      <c r="AY84" t="s">
        <v>1271</v>
      </c>
      <c r="AZ84">
        <v>286.60000000000002</v>
      </c>
      <c r="BA84">
        <v>53.5</v>
      </c>
      <c r="BB84">
        <v>3.6</v>
      </c>
      <c r="BC84">
        <v>5</v>
      </c>
      <c r="BD84">
        <v>2.8</v>
      </c>
      <c r="BE84">
        <v>4.7</v>
      </c>
    </row>
    <row r="85" spans="1:57" x14ac:dyDescent="0.25">
      <c r="A85" t="s">
        <v>775</v>
      </c>
      <c r="B85">
        <v>104</v>
      </c>
      <c r="C85" t="s">
        <v>68</v>
      </c>
      <c r="D85">
        <v>1</v>
      </c>
      <c r="E85" t="s">
        <v>142</v>
      </c>
      <c r="F85" t="s">
        <v>49</v>
      </c>
      <c r="G85">
        <v>988.2</v>
      </c>
      <c r="H85">
        <v>1</v>
      </c>
      <c r="I85">
        <v>1</v>
      </c>
      <c r="J85">
        <v>0</v>
      </c>
      <c r="K85" t="s">
        <v>1272</v>
      </c>
      <c r="L85" t="s">
        <v>721</v>
      </c>
      <c r="M85" t="s">
        <v>721</v>
      </c>
      <c r="P85" t="s">
        <v>89</v>
      </c>
      <c r="Q85">
        <v>3.7</v>
      </c>
      <c r="R85">
        <v>7.6210000000000004</v>
      </c>
      <c r="S85">
        <v>4.2300000000000004</v>
      </c>
      <c r="T85">
        <v>33.299999999999997</v>
      </c>
      <c r="U85">
        <v>3.7</v>
      </c>
      <c r="V85">
        <v>106</v>
      </c>
      <c r="W85">
        <v>102.1</v>
      </c>
      <c r="X85">
        <v>3</v>
      </c>
      <c r="Y85">
        <v>-5.8</v>
      </c>
      <c r="Z85">
        <v>0.7</v>
      </c>
      <c r="AB85">
        <v>4.8</v>
      </c>
      <c r="AC85">
        <v>141</v>
      </c>
      <c r="AD85">
        <v>1.2</v>
      </c>
      <c r="AE85">
        <v>99</v>
      </c>
      <c r="AF85" t="s">
        <v>652</v>
      </c>
      <c r="AG85">
        <v>1.8</v>
      </c>
      <c r="AK85">
        <v>11.4</v>
      </c>
      <c r="AM85">
        <v>100.5</v>
      </c>
      <c r="AN85">
        <v>9.5</v>
      </c>
      <c r="AO85">
        <v>14.3</v>
      </c>
      <c r="AP85">
        <v>8.1</v>
      </c>
      <c r="AQ85">
        <v>10.5</v>
      </c>
      <c r="AR85">
        <v>1.36</v>
      </c>
      <c r="AS85">
        <v>32.700000000000003</v>
      </c>
      <c r="AU85">
        <v>75.400000000000006</v>
      </c>
      <c r="AV85">
        <v>18.5</v>
      </c>
      <c r="AW85">
        <v>7539</v>
      </c>
      <c r="AX85" t="s">
        <v>1219</v>
      </c>
      <c r="AY85" t="s">
        <v>1273</v>
      </c>
      <c r="AZ85">
        <v>284.5</v>
      </c>
      <c r="BA85">
        <v>24</v>
      </c>
      <c r="BB85">
        <v>10.5</v>
      </c>
      <c r="BC85">
        <v>11.4</v>
      </c>
    </row>
    <row r="86" spans="1:57" x14ac:dyDescent="0.25">
      <c r="A86" t="s">
        <v>716</v>
      </c>
      <c r="B86">
        <v>112</v>
      </c>
      <c r="C86" t="s">
        <v>70</v>
      </c>
      <c r="D86">
        <v>1</v>
      </c>
      <c r="E86" t="s">
        <v>71</v>
      </c>
      <c r="F86" t="s">
        <v>49</v>
      </c>
      <c r="G86">
        <v>1004</v>
      </c>
      <c r="H86">
        <v>0</v>
      </c>
      <c r="I86">
        <v>0</v>
      </c>
      <c r="J86">
        <v>0</v>
      </c>
      <c r="K86" t="s">
        <v>1236</v>
      </c>
      <c r="L86" t="s">
        <v>721</v>
      </c>
      <c r="M86" t="s">
        <v>721</v>
      </c>
      <c r="P86" t="s">
        <v>90</v>
      </c>
      <c r="Q86">
        <v>6.8</v>
      </c>
      <c r="R86">
        <v>7.5090000000000003</v>
      </c>
      <c r="S86">
        <v>5.95</v>
      </c>
      <c r="T86">
        <v>30.5</v>
      </c>
      <c r="U86">
        <v>6.8</v>
      </c>
      <c r="V86">
        <v>100.7</v>
      </c>
      <c r="W86">
        <v>100</v>
      </c>
      <c r="X86">
        <v>0.4</v>
      </c>
      <c r="Y86">
        <v>-0.7</v>
      </c>
      <c r="Z86">
        <v>0.3</v>
      </c>
      <c r="AB86">
        <v>4.2</v>
      </c>
      <c r="AC86">
        <v>162</v>
      </c>
      <c r="AD86">
        <v>0.99</v>
      </c>
      <c r="AE86">
        <v>112</v>
      </c>
      <c r="AF86" t="s">
        <v>963</v>
      </c>
      <c r="AG86">
        <v>1.3</v>
      </c>
      <c r="AI86">
        <v>15.7</v>
      </c>
      <c r="AJ86">
        <v>2.5</v>
      </c>
      <c r="AK86">
        <v>12.4</v>
      </c>
      <c r="AL86">
        <v>35</v>
      </c>
      <c r="AM86">
        <v>100.5</v>
      </c>
      <c r="AN86">
        <v>14.4</v>
      </c>
      <c r="AO86">
        <v>18.600000000000001</v>
      </c>
      <c r="AP86">
        <v>15</v>
      </c>
      <c r="AQ86">
        <v>11.2</v>
      </c>
      <c r="AR86">
        <v>1.05</v>
      </c>
      <c r="AS86">
        <v>35.5</v>
      </c>
      <c r="AT86">
        <v>72.5</v>
      </c>
      <c r="AU86">
        <v>82.6</v>
      </c>
      <c r="AV86">
        <v>33.4</v>
      </c>
      <c r="AW86">
        <v>7545</v>
      </c>
      <c r="AX86" t="s">
        <v>1124</v>
      </c>
      <c r="AY86" t="s">
        <v>1237</v>
      </c>
      <c r="AZ86">
        <v>327.7</v>
      </c>
      <c r="BA86">
        <v>31</v>
      </c>
      <c r="BB86">
        <v>11.2</v>
      </c>
      <c r="BC86">
        <v>12.4</v>
      </c>
      <c r="BD86">
        <v>11.2</v>
      </c>
      <c r="BE86">
        <v>12.4</v>
      </c>
    </row>
    <row r="87" spans="1:57" x14ac:dyDescent="0.25">
      <c r="A87" t="s">
        <v>744</v>
      </c>
      <c r="B87">
        <v>117</v>
      </c>
      <c r="C87" t="s">
        <v>36</v>
      </c>
      <c r="D87">
        <v>2</v>
      </c>
      <c r="E87" t="s">
        <v>142</v>
      </c>
      <c r="F87" t="s">
        <v>383</v>
      </c>
      <c r="G87">
        <v>1210</v>
      </c>
      <c r="H87">
        <v>1</v>
      </c>
      <c r="I87">
        <v>1</v>
      </c>
      <c r="J87">
        <v>0</v>
      </c>
      <c r="K87" t="s">
        <v>299</v>
      </c>
      <c r="L87" t="s">
        <v>721</v>
      </c>
      <c r="M87" t="s">
        <v>721</v>
      </c>
      <c r="P87" t="s">
        <v>279</v>
      </c>
      <c r="Q87">
        <v>5.8</v>
      </c>
      <c r="R87">
        <v>7.4480000000000004</v>
      </c>
      <c r="S87">
        <v>6.37</v>
      </c>
      <c r="T87">
        <v>8.32</v>
      </c>
      <c r="U87">
        <v>5.8</v>
      </c>
      <c r="V87">
        <v>96</v>
      </c>
      <c r="W87">
        <v>94.8</v>
      </c>
      <c r="X87">
        <v>1</v>
      </c>
      <c r="Y87">
        <v>4</v>
      </c>
      <c r="Z87">
        <v>0.2</v>
      </c>
      <c r="AB87">
        <v>4.8</v>
      </c>
      <c r="AC87">
        <v>147</v>
      </c>
      <c r="AD87">
        <v>1.35</v>
      </c>
      <c r="AE87">
        <v>107</v>
      </c>
      <c r="AF87" t="s">
        <v>749</v>
      </c>
      <c r="AG87">
        <v>3</v>
      </c>
      <c r="AI87">
        <v>12.5</v>
      </c>
      <c r="AJ87">
        <v>2.4900000000000002</v>
      </c>
      <c r="AK87">
        <v>9</v>
      </c>
      <c r="AL87">
        <v>31.8</v>
      </c>
      <c r="AM87">
        <v>100.2</v>
      </c>
      <c r="AN87">
        <v>7.6</v>
      </c>
      <c r="AO87">
        <v>12.4</v>
      </c>
      <c r="AP87">
        <v>12.8</v>
      </c>
      <c r="AQ87">
        <v>8</v>
      </c>
      <c r="AR87">
        <v>1.39</v>
      </c>
      <c r="AS87">
        <v>33</v>
      </c>
      <c r="AT87">
        <v>69.400000000000006</v>
      </c>
      <c r="AU87">
        <v>77.3</v>
      </c>
      <c r="AV87">
        <v>28.6</v>
      </c>
      <c r="AW87">
        <v>7507</v>
      </c>
      <c r="AX87" t="s">
        <v>1255</v>
      </c>
      <c r="AY87" t="s">
        <v>1256</v>
      </c>
      <c r="AZ87">
        <v>297.10000000000002</v>
      </c>
      <c r="BA87">
        <v>35.700000000000003</v>
      </c>
      <c r="BB87">
        <v>8</v>
      </c>
      <c r="BC87">
        <v>9</v>
      </c>
      <c r="BD87">
        <v>8</v>
      </c>
      <c r="BE87">
        <v>9</v>
      </c>
    </row>
    <row r="88" spans="1:57" x14ac:dyDescent="0.25">
      <c r="A88" t="s">
        <v>782</v>
      </c>
      <c r="B88">
        <v>123</v>
      </c>
      <c r="C88" t="s">
        <v>39</v>
      </c>
      <c r="D88">
        <v>2</v>
      </c>
      <c r="E88" t="s">
        <v>142</v>
      </c>
      <c r="F88" t="s">
        <v>382</v>
      </c>
      <c r="G88">
        <v>1015</v>
      </c>
      <c r="H88">
        <v>1</v>
      </c>
      <c r="I88">
        <v>1</v>
      </c>
      <c r="J88">
        <v>0</v>
      </c>
      <c r="K88" t="s">
        <v>294</v>
      </c>
      <c r="L88" t="s">
        <v>721</v>
      </c>
      <c r="M88" t="s">
        <v>721</v>
      </c>
      <c r="P88" t="s">
        <v>73</v>
      </c>
      <c r="Q88">
        <v>6.6</v>
      </c>
      <c r="R88">
        <v>7.5209999999999999</v>
      </c>
      <c r="S88">
        <v>5.39</v>
      </c>
      <c r="T88">
        <v>5.44</v>
      </c>
      <c r="U88">
        <v>6.6</v>
      </c>
      <c r="V88">
        <v>90.2</v>
      </c>
      <c r="W88">
        <v>89.1</v>
      </c>
      <c r="X88">
        <v>1.2</v>
      </c>
      <c r="Y88">
        <v>9.6999999999999993</v>
      </c>
      <c r="Z88">
        <v>0</v>
      </c>
      <c r="AB88">
        <v>4.5</v>
      </c>
      <c r="AC88">
        <v>154</v>
      </c>
      <c r="AD88">
        <v>1.05</v>
      </c>
      <c r="AE88">
        <v>107</v>
      </c>
      <c r="AF88" t="s">
        <v>696</v>
      </c>
      <c r="AG88">
        <v>1.7</v>
      </c>
      <c r="AI88">
        <v>13.3</v>
      </c>
      <c r="AJ88">
        <v>2.31</v>
      </c>
      <c r="AK88">
        <v>10.199999999999999</v>
      </c>
      <c r="AL88">
        <v>33</v>
      </c>
      <c r="AM88">
        <v>100.2</v>
      </c>
      <c r="AN88">
        <v>13.4</v>
      </c>
      <c r="AO88">
        <v>17.899999999999999</v>
      </c>
      <c r="AP88">
        <v>14.6</v>
      </c>
      <c r="AQ88">
        <v>9.4</v>
      </c>
      <c r="AR88">
        <v>1.1200000000000001</v>
      </c>
      <c r="AS88">
        <v>33.1</v>
      </c>
      <c r="AT88">
        <v>67.8</v>
      </c>
      <c r="AU88">
        <v>76.900000000000006</v>
      </c>
      <c r="AV88">
        <v>32.5</v>
      </c>
      <c r="AW88">
        <v>7525</v>
      </c>
      <c r="AX88" t="s">
        <v>1253</v>
      </c>
      <c r="AY88" t="s">
        <v>1254</v>
      </c>
      <c r="AZ88">
        <v>309.7</v>
      </c>
      <c r="BA88">
        <v>30.1</v>
      </c>
      <c r="BB88">
        <v>9.4</v>
      </c>
      <c r="BC88">
        <v>10.199999999999999</v>
      </c>
      <c r="BD88">
        <v>9.1999999999999993</v>
      </c>
      <c r="BE88">
        <v>10.1</v>
      </c>
    </row>
    <row r="89" spans="1:57" x14ac:dyDescent="0.25">
      <c r="A89" t="s">
        <v>810</v>
      </c>
      <c r="B89">
        <v>136</v>
      </c>
      <c r="C89" t="s">
        <v>45</v>
      </c>
      <c r="D89">
        <v>2</v>
      </c>
      <c r="E89" t="s">
        <v>146</v>
      </c>
      <c r="F89" t="s">
        <v>382</v>
      </c>
      <c r="G89">
        <v>1041</v>
      </c>
      <c r="H89">
        <v>0</v>
      </c>
      <c r="I89">
        <v>1</v>
      </c>
      <c r="J89">
        <v>0</v>
      </c>
      <c r="K89" t="s">
        <v>308</v>
      </c>
      <c r="L89" t="s">
        <v>721</v>
      </c>
      <c r="M89" t="s">
        <v>721</v>
      </c>
      <c r="P89" t="s">
        <v>286</v>
      </c>
      <c r="Q89">
        <v>4</v>
      </c>
      <c r="R89">
        <v>7.5490000000000004</v>
      </c>
      <c r="S89">
        <v>4.92</v>
      </c>
      <c r="T89">
        <v>32</v>
      </c>
      <c r="U89">
        <v>4</v>
      </c>
      <c r="V89">
        <v>106</v>
      </c>
      <c r="W89">
        <v>101.9</v>
      </c>
      <c r="X89">
        <v>3</v>
      </c>
      <c r="Y89">
        <v>-5.8</v>
      </c>
      <c r="Z89">
        <v>0.9</v>
      </c>
      <c r="AB89">
        <v>4.8</v>
      </c>
      <c r="AC89">
        <v>140</v>
      </c>
      <c r="AD89">
        <v>1.3</v>
      </c>
      <c r="AE89">
        <v>98</v>
      </c>
      <c r="AF89" t="s">
        <v>844</v>
      </c>
      <c r="AG89">
        <v>1.4</v>
      </c>
      <c r="AK89">
        <v>9.8000000000000007</v>
      </c>
      <c r="AM89">
        <v>100.1</v>
      </c>
      <c r="AN89">
        <v>9.1999999999999993</v>
      </c>
      <c r="AO89">
        <v>14</v>
      </c>
      <c r="AP89">
        <v>8.6</v>
      </c>
      <c r="AQ89">
        <v>9</v>
      </c>
      <c r="AR89">
        <v>1.41</v>
      </c>
      <c r="AS89">
        <v>32.200000000000003</v>
      </c>
      <c r="AU89">
        <v>74.7</v>
      </c>
      <c r="AV89">
        <v>19.7</v>
      </c>
      <c r="AW89">
        <v>7521</v>
      </c>
      <c r="AX89" t="s">
        <v>1111</v>
      </c>
      <c r="AY89" t="s">
        <v>1303</v>
      </c>
      <c r="AZ89">
        <v>283.89999999999998</v>
      </c>
      <c r="BA89">
        <v>28.2</v>
      </c>
      <c r="BB89">
        <v>9</v>
      </c>
      <c r="BC89">
        <v>9.8000000000000007</v>
      </c>
    </row>
    <row r="90" spans="1:57" x14ac:dyDescent="0.25">
      <c r="A90" t="s">
        <v>832</v>
      </c>
      <c r="B90">
        <v>133</v>
      </c>
      <c r="C90" t="s">
        <v>47</v>
      </c>
      <c r="D90">
        <v>2</v>
      </c>
      <c r="E90" t="s">
        <v>146</v>
      </c>
      <c r="F90" t="s">
        <v>382</v>
      </c>
      <c r="G90">
        <v>1260.5999999999999</v>
      </c>
      <c r="H90">
        <v>0</v>
      </c>
      <c r="I90">
        <v>1</v>
      </c>
      <c r="J90">
        <v>0</v>
      </c>
      <c r="K90" t="s">
        <v>318</v>
      </c>
      <c r="L90" t="s">
        <v>721</v>
      </c>
      <c r="M90" t="s">
        <v>721</v>
      </c>
      <c r="P90" t="s">
        <v>75</v>
      </c>
      <c r="Q90">
        <v>7.3</v>
      </c>
      <c r="R90">
        <v>7.5620000000000003</v>
      </c>
      <c r="S90">
        <v>5.04</v>
      </c>
      <c r="T90">
        <v>23.4</v>
      </c>
      <c r="U90">
        <v>7.3</v>
      </c>
      <c r="V90">
        <v>100.9</v>
      </c>
      <c r="W90">
        <v>100.3</v>
      </c>
      <c r="X90">
        <v>0.5</v>
      </c>
      <c r="Y90">
        <v>-0.9</v>
      </c>
      <c r="Z90">
        <v>0.1</v>
      </c>
      <c r="AB90">
        <v>4.8</v>
      </c>
      <c r="AC90">
        <v>140</v>
      </c>
      <c r="AD90">
        <v>1.35</v>
      </c>
      <c r="AE90">
        <v>99</v>
      </c>
      <c r="AF90" t="s">
        <v>950</v>
      </c>
      <c r="AG90">
        <v>1.2</v>
      </c>
      <c r="AI90">
        <v>16.8</v>
      </c>
      <c r="AJ90">
        <v>2.36</v>
      </c>
      <c r="AK90">
        <v>11.8</v>
      </c>
      <c r="AL90">
        <v>34.799999999999997</v>
      </c>
      <c r="AM90">
        <v>100.1</v>
      </c>
      <c r="AN90">
        <v>6.8</v>
      </c>
      <c r="AO90">
        <v>11.6</v>
      </c>
      <c r="AP90">
        <v>16.3</v>
      </c>
      <c r="AQ90">
        <v>11</v>
      </c>
      <c r="AR90">
        <v>1.47</v>
      </c>
      <c r="AS90">
        <v>34</v>
      </c>
      <c r="AT90">
        <v>68.2</v>
      </c>
      <c r="AU90">
        <v>78.8</v>
      </c>
      <c r="AV90">
        <v>36.1</v>
      </c>
      <c r="AW90">
        <v>7544</v>
      </c>
      <c r="AX90" t="s">
        <v>1279</v>
      </c>
      <c r="AY90" t="s">
        <v>1280</v>
      </c>
      <c r="AZ90">
        <v>282.39999999999998</v>
      </c>
      <c r="BA90">
        <v>27.4</v>
      </c>
      <c r="BB90">
        <v>11</v>
      </c>
      <c r="BC90">
        <v>11.8</v>
      </c>
      <c r="BD90">
        <v>11</v>
      </c>
      <c r="BE90">
        <v>11.8</v>
      </c>
    </row>
    <row r="91" spans="1:57" x14ac:dyDescent="0.25">
      <c r="A91" t="s">
        <v>655</v>
      </c>
      <c r="B91">
        <v>119</v>
      </c>
      <c r="C91" t="s">
        <v>49</v>
      </c>
      <c r="D91">
        <v>2</v>
      </c>
      <c r="E91" t="s">
        <v>40</v>
      </c>
      <c r="F91" t="s">
        <v>383</v>
      </c>
      <c r="G91">
        <v>1189</v>
      </c>
      <c r="H91">
        <v>0</v>
      </c>
      <c r="I91">
        <v>1</v>
      </c>
      <c r="J91">
        <v>1</v>
      </c>
      <c r="K91" t="s">
        <v>295</v>
      </c>
      <c r="L91" t="s">
        <v>721</v>
      </c>
      <c r="M91" t="s">
        <v>721</v>
      </c>
      <c r="P91" t="s">
        <v>76</v>
      </c>
      <c r="Q91">
        <v>5.9</v>
      </c>
      <c r="R91">
        <v>7.4420000000000002</v>
      </c>
      <c r="S91">
        <v>5.97</v>
      </c>
      <c r="T91">
        <v>7.82</v>
      </c>
      <c r="U91">
        <v>5.9</v>
      </c>
      <c r="V91">
        <v>96</v>
      </c>
      <c r="W91">
        <v>95.2</v>
      </c>
      <c r="X91">
        <v>0.8</v>
      </c>
      <c r="Y91">
        <v>4</v>
      </c>
      <c r="Z91">
        <v>0</v>
      </c>
      <c r="AB91">
        <v>4.2</v>
      </c>
      <c r="AC91">
        <v>146</v>
      </c>
      <c r="AD91">
        <v>1.27</v>
      </c>
      <c r="AE91">
        <v>104</v>
      </c>
      <c r="AF91" t="s">
        <v>962</v>
      </c>
      <c r="AG91">
        <v>3.8</v>
      </c>
      <c r="AI91">
        <v>12.8</v>
      </c>
      <c r="AJ91">
        <v>2.2999999999999998</v>
      </c>
      <c r="AK91">
        <v>6.4</v>
      </c>
      <c r="AL91">
        <v>29.6</v>
      </c>
      <c r="AM91">
        <v>100.2</v>
      </c>
      <c r="AN91">
        <v>11.3</v>
      </c>
      <c r="AO91">
        <v>15.6</v>
      </c>
      <c r="AP91">
        <v>13.1</v>
      </c>
      <c r="AQ91">
        <v>5.7</v>
      </c>
      <c r="AR91">
        <v>1.3</v>
      </c>
      <c r="AS91">
        <v>30.5</v>
      </c>
      <c r="AT91">
        <v>64</v>
      </c>
      <c r="AU91">
        <v>71.400000000000006</v>
      </c>
      <c r="AV91">
        <v>29.2</v>
      </c>
      <c r="AW91">
        <v>7479</v>
      </c>
      <c r="AX91" t="s">
        <v>1216</v>
      </c>
      <c r="AY91" t="s">
        <v>1217</v>
      </c>
      <c r="AZ91">
        <v>314</v>
      </c>
      <c r="BA91">
        <v>36.1</v>
      </c>
      <c r="BB91">
        <v>5.7</v>
      </c>
      <c r="BC91">
        <v>6.4</v>
      </c>
      <c r="BD91">
        <v>5.6</v>
      </c>
      <c r="BE91">
        <v>6.3</v>
      </c>
    </row>
    <row r="92" spans="1:57" x14ac:dyDescent="0.25">
      <c r="A92" t="s">
        <v>601</v>
      </c>
      <c r="B92">
        <v>135</v>
      </c>
      <c r="C92" t="s">
        <v>51</v>
      </c>
      <c r="D92">
        <v>2</v>
      </c>
      <c r="E92" t="s">
        <v>54</v>
      </c>
      <c r="F92" t="s">
        <v>382</v>
      </c>
      <c r="G92">
        <v>1387</v>
      </c>
      <c r="H92">
        <v>0</v>
      </c>
      <c r="I92">
        <v>0</v>
      </c>
      <c r="J92">
        <v>1</v>
      </c>
      <c r="K92" t="s">
        <v>312</v>
      </c>
      <c r="L92" t="s">
        <v>721</v>
      </c>
      <c r="M92" t="s">
        <v>721</v>
      </c>
      <c r="P92" t="s">
        <v>77</v>
      </c>
      <c r="Q92">
        <v>6.7</v>
      </c>
      <c r="R92">
        <v>7.4939999999999998</v>
      </c>
      <c r="S92">
        <v>5.44</v>
      </c>
      <c r="T92">
        <v>21.5</v>
      </c>
      <c r="U92">
        <v>6.7</v>
      </c>
      <c r="V92">
        <v>100.8</v>
      </c>
      <c r="W92">
        <v>100.2</v>
      </c>
      <c r="X92">
        <v>0.5</v>
      </c>
      <c r="Y92">
        <v>-0.8</v>
      </c>
      <c r="Z92">
        <v>0.1</v>
      </c>
      <c r="AB92">
        <v>3.6</v>
      </c>
      <c r="AC92">
        <v>151</v>
      </c>
      <c r="AD92">
        <v>1.2</v>
      </c>
      <c r="AE92">
        <v>111</v>
      </c>
      <c r="AF92" t="s">
        <v>1167</v>
      </c>
      <c r="AG92">
        <v>2.2000000000000002</v>
      </c>
      <c r="AI92">
        <v>15.4</v>
      </c>
      <c r="AJ92">
        <v>2.5499999999999998</v>
      </c>
      <c r="AK92">
        <v>8.1</v>
      </c>
      <c r="AL92">
        <v>31.2</v>
      </c>
      <c r="AM92">
        <v>100.1</v>
      </c>
      <c r="AN92">
        <v>8.6999999999999993</v>
      </c>
      <c r="AO92">
        <v>12.3</v>
      </c>
      <c r="AP92">
        <v>14.9</v>
      </c>
      <c r="AQ92">
        <v>7.4</v>
      </c>
      <c r="AR92">
        <v>1.27</v>
      </c>
      <c r="AS92">
        <v>31.3</v>
      </c>
      <c r="AT92">
        <v>64.2</v>
      </c>
      <c r="AU92">
        <v>73.099999999999994</v>
      </c>
      <c r="AV92">
        <v>33.1</v>
      </c>
      <c r="AW92">
        <v>7500</v>
      </c>
      <c r="AX92" t="s">
        <v>1168</v>
      </c>
      <c r="AY92" t="s">
        <v>1169</v>
      </c>
      <c r="AZ92">
        <v>319</v>
      </c>
      <c r="BA92">
        <v>32.1</v>
      </c>
      <c r="BB92">
        <v>7.4</v>
      </c>
      <c r="BC92">
        <v>8.1</v>
      </c>
      <c r="BD92">
        <v>7.4</v>
      </c>
      <c r="BE92">
        <v>8.1</v>
      </c>
    </row>
    <row r="93" spans="1:57" x14ac:dyDescent="0.25">
      <c r="A93" t="s">
        <v>609</v>
      </c>
      <c r="B93">
        <v>132</v>
      </c>
      <c r="C93" t="s">
        <v>56</v>
      </c>
      <c r="D93">
        <v>2</v>
      </c>
      <c r="E93" t="s">
        <v>54</v>
      </c>
      <c r="F93" t="s">
        <v>383</v>
      </c>
      <c r="G93">
        <v>1015.2</v>
      </c>
      <c r="H93">
        <v>0</v>
      </c>
      <c r="I93">
        <v>0</v>
      </c>
      <c r="J93">
        <v>1</v>
      </c>
      <c r="K93" t="s">
        <v>322</v>
      </c>
      <c r="L93" t="s">
        <v>721</v>
      </c>
      <c r="M93" t="s">
        <v>721</v>
      </c>
      <c r="P93" t="s">
        <v>79</v>
      </c>
      <c r="Q93">
        <v>6</v>
      </c>
      <c r="R93">
        <v>7.4320000000000004</v>
      </c>
      <c r="S93">
        <v>6.3</v>
      </c>
      <c r="T93">
        <v>6.39</v>
      </c>
      <c r="U93">
        <v>6</v>
      </c>
      <c r="V93">
        <v>93.3</v>
      </c>
      <c r="W93">
        <v>92.1</v>
      </c>
      <c r="X93">
        <v>1.2</v>
      </c>
      <c r="Y93">
        <v>6.6</v>
      </c>
      <c r="Z93">
        <v>0.1</v>
      </c>
      <c r="AB93">
        <v>3.5</v>
      </c>
      <c r="AC93">
        <v>152</v>
      </c>
      <c r="AD93">
        <v>1.24</v>
      </c>
      <c r="AE93">
        <v>109</v>
      </c>
      <c r="AF93" t="s">
        <v>760</v>
      </c>
      <c r="AG93">
        <v>2.1</v>
      </c>
      <c r="AI93">
        <v>12.6</v>
      </c>
      <c r="AJ93">
        <v>2.3199999999999998</v>
      </c>
      <c r="AK93">
        <v>7.2</v>
      </c>
      <c r="AL93">
        <v>30.1</v>
      </c>
      <c r="AM93">
        <v>100.1</v>
      </c>
      <c r="AN93">
        <v>11.4</v>
      </c>
      <c r="AO93">
        <v>14.9</v>
      </c>
      <c r="AP93">
        <v>13.3</v>
      </c>
      <c r="AQ93">
        <v>6.4</v>
      </c>
      <c r="AR93">
        <v>1.27</v>
      </c>
      <c r="AS93">
        <v>31.5</v>
      </c>
      <c r="AT93">
        <v>66</v>
      </c>
      <c r="AU93">
        <v>73.8</v>
      </c>
      <c r="AV93">
        <v>29.7</v>
      </c>
      <c r="AW93">
        <v>7486</v>
      </c>
      <c r="AX93" t="s">
        <v>1183</v>
      </c>
      <c r="AY93" t="s">
        <v>1184</v>
      </c>
      <c r="AZ93">
        <v>320.5</v>
      </c>
      <c r="BA93">
        <v>37</v>
      </c>
      <c r="BB93">
        <v>6.4</v>
      </c>
      <c r="BC93">
        <v>7.2</v>
      </c>
      <c r="BD93">
        <v>6.2</v>
      </c>
      <c r="BE93">
        <v>7.1</v>
      </c>
    </row>
    <row r="94" spans="1:57" x14ac:dyDescent="0.25">
      <c r="A94" t="s">
        <v>789</v>
      </c>
      <c r="B94">
        <v>128</v>
      </c>
      <c r="C94" t="s">
        <v>80</v>
      </c>
      <c r="D94">
        <v>2</v>
      </c>
      <c r="E94" t="s">
        <v>142</v>
      </c>
      <c r="F94" t="s">
        <v>382</v>
      </c>
      <c r="G94">
        <v>678</v>
      </c>
      <c r="H94">
        <v>1</v>
      </c>
      <c r="I94">
        <v>1</v>
      </c>
      <c r="J94">
        <v>0</v>
      </c>
      <c r="K94" t="s">
        <v>327</v>
      </c>
      <c r="L94" t="s">
        <v>721</v>
      </c>
      <c r="M94" t="s">
        <v>721</v>
      </c>
      <c r="P94" t="s">
        <v>81</v>
      </c>
      <c r="Q94">
        <v>6.5</v>
      </c>
      <c r="R94">
        <v>7.4340000000000002</v>
      </c>
      <c r="S94">
        <v>5.2</v>
      </c>
      <c r="T94">
        <v>41.1</v>
      </c>
      <c r="U94">
        <v>6.5</v>
      </c>
      <c r="V94">
        <v>101.3</v>
      </c>
      <c r="W94">
        <v>100.6</v>
      </c>
      <c r="X94">
        <v>0.6</v>
      </c>
      <c r="Y94">
        <v>-1.3</v>
      </c>
      <c r="Z94">
        <v>0.1</v>
      </c>
      <c r="AB94">
        <v>4.2</v>
      </c>
      <c r="AC94">
        <v>145</v>
      </c>
      <c r="AD94">
        <v>1.38</v>
      </c>
      <c r="AE94">
        <v>107</v>
      </c>
      <c r="AF94" t="s">
        <v>950</v>
      </c>
      <c r="AG94">
        <v>3.2</v>
      </c>
      <c r="AI94">
        <v>15.5</v>
      </c>
      <c r="AJ94">
        <v>2.72</v>
      </c>
      <c r="AK94">
        <v>1.9</v>
      </c>
      <c r="AL94">
        <v>26</v>
      </c>
      <c r="AM94">
        <v>100.1</v>
      </c>
      <c r="AN94">
        <v>11.5</v>
      </c>
      <c r="AO94">
        <v>15.7</v>
      </c>
      <c r="AP94">
        <v>14.5</v>
      </c>
      <c r="AQ94">
        <v>1.8</v>
      </c>
      <c r="AR94">
        <v>1.41</v>
      </c>
      <c r="AS94">
        <v>26.1</v>
      </c>
      <c r="AT94">
        <v>54.1</v>
      </c>
      <c r="AU94">
        <v>61.2</v>
      </c>
      <c r="AV94">
        <v>32.200000000000003</v>
      </c>
      <c r="AW94">
        <v>7426</v>
      </c>
      <c r="AX94" t="s">
        <v>797</v>
      </c>
      <c r="AY94" t="s">
        <v>958</v>
      </c>
      <c r="AZ94">
        <v>292.2</v>
      </c>
      <c r="BA94">
        <v>36.799999999999997</v>
      </c>
      <c r="BB94">
        <v>1.8</v>
      </c>
      <c r="BC94">
        <v>1.9</v>
      </c>
      <c r="BD94">
        <v>1.8</v>
      </c>
      <c r="BE94">
        <v>1.9</v>
      </c>
    </row>
    <row r="95" spans="1:57" x14ac:dyDescent="0.25">
      <c r="A95" t="s">
        <v>847</v>
      </c>
      <c r="B95">
        <v>141</v>
      </c>
      <c r="C95" t="s">
        <v>82</v>
      </c>
      <c r="D95">
        <v>2</v>
      </c>
      <c r="E95" t="s">
        <v>146</v>
      </c>
      <c r="F95" t="s">
        <v>383</v>
      </c>
      <c r="G95">
        <v>1405</v>
      </c>
      <c r="H95">
        <v>0</v>
      </c>
      <c r="I95">
        <v>1</v>
      </c>
      <c r="J95">
        <v>0</v>
      </c>
      <c r="K95" t="s">
        <v>290</v>
      </c>
      <c r="L95" t="s">
        <v>721</v>
      </c>
      <c r="M95" t="s">
        <v>721</v>
      </c>
      <c r="P95" t="s">
        <v>83</v>
      </c>
      <c r="Q95">
        <v>6.1</v>
      </c>
      <c r="R95">
        <v>7.5579999999999998</v>
      </c>
      <c r="S95">
        <v>4.59</v>
      </c>
      <c r="T95">
        <v>18.5</v>
      </c>
      <c r="U95">
        <v>6.1</v>
      </c>
      <c r="V95">
        <v>100.7</v>
      </c>
      <c r="W95">
        <v>99.8</v>
      </c>
      <c r="X95">
        <v>0.8</v>
      </c>
      <c r="Y95">
        <v>-0.7</v>
      </c>
      <c r="Z95">
        <v>0.1</v>
      </c>
      <c r="AB95">
        <v>4.5</v>
      </c>
      <c r="AC95">
        <v>165</v>
      </c>
      <c r="AD95">
        <v>1.04</v>
      </c>
      <c r="AE95">
        <v>110</v>
      </c>
      <c r="AF95" t="s">
        <v>970</v>
      </c>
      <c r="AG95">
        <v>2.4</v>
      </c>
      <c r="AI95">
        <v>14</v>
      </c>
      <c r="AJ95">
        <v>2.36</v>
      </c>
      <c r="AK95">
        <v>8.5</v>
      </c>
      <c r="AL95">
        <v>31.9</v>
      </c>
      <c r="AM95">
        <v>100.2</v>
      </c>
      <c r="AN95">
        <v>24.4</v>
      </c>
      <c r="AO95">
        <v>28.9</v>
      </c>
      <c r="AP95">
        <v>13.6</v>
      </c>
      <c r="AQ95">
        <v>8.1</v>
      </c>
      <c r="AR95">
        <v>1.1299999999999999</v>
      </c>
      <c r="AS95">
        <v>30.7</v>
      </c>
      <c r="AT95">
        <v>63.1</v>
      </c>
      <c r="AU95">
        <v>71.2</v>
      </c>
      <c r="AV95">
        <v>30.3</v>
      </c>
      <c r="AW95">
        <v>7509</v>
      </c>
      <c r="AX95" t="s">
        <v>1293</v>
      </c>
      <c r="AY95" t="s">
        <v>1294</v>
      </c>
      <c r="AZ95">
        <v>332.6</v>
      </c>
      <c r="BA95">
        <v>27.6</v>
      </c>
      <c r="BB95">
        <v>8.1</v>
      </c>
      <c r="BC95">
        <v>8.5</v>
      </c>
      <c r="BD95">
        <v>8.1</v>
      </c>
      <c r="BE95">
        <v>8.5</v>
      </c>
    </row>
    <row r="96" spans="1:57" x14ac:dyDescent="0.25">
      <c r="A96" t="s">
        <v>695</v>
      </c>
      <c r="B96">
        <v>131</v>
      </c>
      <c r="C96" t="s">
        <v>58</v>
      </c>
      <c r="D96">
        <v>2</v>
      </c>
      <c r="E96" t="s">
        <v>71</v>
      </c>
      <c r="F96" t="s">
        <v>383</v>
      </c>
      <c r="G96">
        <v>1202.8</v>
      </c>
      <c r="H96">
        <v>0</v>
      </c>
      <c r="I96">
        <v>0</v>
      </c>
      <c r="J96">
        <v>0</v>
      </c>
      <c r="K96" t="s">
        <v>323</v>
      </c>
      <c r="L96" t="s">
        <v>721</v>
      </c>
      <c r="M96" t="s">
        <v>721</v>
      </c>
      <c r="P96" t="s">
        <v>84</v>
      </c>
      <c r="Q96">
        <v>6.7</v>
      </c>
      <c r="R96">
        <v>7.617</v>
      </c>
      <c r="S96">
        <v>3.62</v>
      </c>
      <c r="T96">
        <v>19.3</v>
      </c>
      <c r="U96">
        <v>6.7</v>
      </c>
      <c r="V96">
        <v>100.8</v>
      </c>
      <c r="W96">
        <v>100.2</v>
      </c>
      <c r="X96">
        <v>0.5</v>
      </c>
      <c r="Y96">
        <v>-0.8</v>
      </c>
      <c r="Z96">
        <v>0.1</v>
      </c>
      <c r="AB96">
        <v>5</v>
      </c>
      <c r="AC96">
        <v>165</v>
      </c>
      <c r="AD96">
        <v>0.76</v>
      </c>
      <c r="AE96">
        <v>110</v>
      </c>
      <c r="AF96" t="s">
        <v>891</v>
      </c>
      <c r="AG96">
        <v>2.2999999999999998</v>
      </c>
      <c r="AI96">
        <v>15.5</v>
      </c>
      <c r="AJ96">
        <v>2.23</v>
      </c>
      <c r="AK96">
        <v>6.5</v>
      </c>
      <c r="AL96">
        <v>30.6</v>
      </c>
      <c r="AM96">
        <v>100.1</v>
      </c>
      <c r="AN96">
        <v>27.8</v>
      </c>
      <c r="AO96">
        <v>32.9</v>
      </c>
      <c r="AP96">
        <v>15</v>
      </c>
      <c r="AQ96">
        <v>6.8</v>
      </c>
      <c r="AR96">
        <v>0.86</v>
      </c>
      <c r="AS96">
        <v>27.7</v>
      </c>
      <c r="AT96">
        <v>56</v>
      </c>
      <c r="AU96">
        <v>64</v>
      </c>
      <c r="AV96">
        <v>33.299999999999997</v>
      </c>
      <c r="AW96">
        <v>7493</v>
      </c>
      <c r="AX96" t="s">
        <v>1231</v>
      </c>
      <c r="AY96" t="s">
        <v>1232</v>
      </c>
      <c r="AZ96">
        <v>341.1</v>
      </c>
      <c r="BA96">
        <v>24.1</v>
      </c>
      <c r="BB96">
        <v>6.8</v>
      </c>
      <c r="BC96">
        <v>6.5</v>
      </c>
      <c r="BD96">
        <v>6.8</v>
      </c>
      <c r="BE96">
        <v>6.5</v>
      </c>
    </row>
    <row r="97" spans="1:57" x14ac:dyDescent="0.25">
      <c r="A97" t="s">
        <v>771</v>
      </c>
      <c r="B97">
        <v>140</v>
      </c>
      <c r="C97" t="s">
        <v>60</v>
      </c>
      <c r="D97">
        <v>2</v>
      </c>
      <c r="E97" t="s">
        <v>142</v>
      </c>
      <c r="F97" t="s">
        <v>383</v>
      </c>
      <c r="G97">
        <v>1261</v>
      </c>
      <c r="H97">
        <v>1</v>
      </c>
      <c r="I97">
        <v>1</v>
      </c>
      <c r="J97">
        <v>0</v>
      </c>
      <c r="K97" t="s">
        <v>291</v>
      </c>
      <c r="L97" t="s">
        <v>721</v>
      </c>
      <c r="M97" t="s">
        <v>721</v>
      </c>
      <c r="P97" t="s">
        <v>85</v>
      </c>
      <c r="Q97">
        <v>6.4</v>
      </c>
      <c r="R97">
        <v>7.4279999999999999</v>
      </c>
      <c r="S97">
        <v>6.65</v>
      </c>
      <c r="T97">
        <v>6.17</v>
      </c>
      <c r="U97">
        <v>6.4</v>
      </c>
      <c r="V97">
        <v>89</v>
      </c>
      <c r="W97">
        <v>87.8</v>
      </c>
      <c r="X97">
        <v>1.1000000000000001</v>
      </c>
      <c r="Y97">
        <v>10.9</v>
      </c>
      <c r="Z97">
        <v>0.2</v>
      </c>
      <c r="AB97">
        <v>4.4000000000000004</v>
      </c>
      <c r="AC97">
        <v>150</v>
      </c>
      <c r="AD97">
        <v>1.1100000000000001</v>
      </c>
      <c r="AE97">
        <v>99</v>
      </c>
      <c r="AF97" t="s">
        <v>966</v>
      </c>
      <c r="AG97">
        <v>1.3</v>
      </c>
      <c r="AI97">
        <v>12.8</v>
      </c>
      <c r="AJ97">
        <v>2.83</v>
      </c>
      <c r="AK97">
        <v>8.6</v>
      </c>
      <c r="AL97">
        <v>31.1</v>
      </c>
      <c r="AM97">
        <v>100.2</v>
      </c>
      <c r="AN97">
        <v>18.100000000000001</v>
      </c>
      <c r="AO97">
        <v>22.5</v>
      </c>
      <c r="AP97">
        <v>14.2</v>
      </c>
      <c r="AQ97">
        <v>7.5</v>
      </c>
      <c r="AR97">
        <v>1.1299999999999999</v>
      </c>
      <c r="AS97">
        <v>32.9</v>
      </c>
      <c r="AT97">
        <v>68.599999999999994</v>
      </c>
      <c r="AU97">
        <v>77.2</v>
      </c>
      <c r="AV97">
        <v>31.7</v>
      </c>
      <c r="AW97">
        <v>7500</v>
      </c>
      <c r="AX97" t="s">
        <v>1265</v>
      </c>
      <c r="AY97" t="s">
        <v>1266</v>
      </c>
      <c r="AZ97">
        <v>303.89999999999998</v>
      </c>
      <c r="BA97">
        <v>37.299999999999997</v>
      </c>
      <c r="BB97">
        <v>7.5</v>
      </c>
      <c r="BC97">
        <v>8.6</v>
      </c>
      <c r="BD97">
        <v>7.3</v>
      </c>
      <c r="BE97">
        <v>8.5</v>
      </c>
    </row>
    <row r="98" spans="1:57" x14ac:dyDescent="0.25">
      <c r="A98" t="s">
        <v>674</v>
      </c>
      <c r="B98">
        <v>115</v>
      </c>
      <c r="C98" t="s">
        <v>62</v>
      </c>
      <c r="D98">
        <v>2</v>
      </c>
      <c r="E98" t="s">
        <v>40</v>
      </c>
      <c r="F98" t="s">
        <v>383</v>
      </c>
      <c r="G98">
        <v>791</v>
      </c>
      <c r="H98">
        <v>0</v>
      </c>
      <c r="I98">
        <v>1</v>
      </c>
      <c r="J98">
        <v>1</v>
      </c>
      <c r="K98" t="s">
        <v>292</v>
      </c>
      <c r="L98" t="s">
        <v>721</v>
      </c>
      <c r="M98" t="s">
        <v>721</v>
      </c>
      <c r="P98" t="s">
        <v>86</v>
      </c>
      <c r="Q98">
        <v>6.1</v>
      </c>
      <c r="R98">
        <v>7.4160000000000004</v>
      </c>
      <c r="S98">
        <v>6.83</v>
      </c>
      <c r="T98">
        <v>8.98</v>
      </c>
      <c r="U98">
        <v>6.1</v>
      </c>
      <c r="V98">
        <v>98.2</v>
      </c>
      <c r="W98">
        <v>97.2</v>
      </c>
      <c r="X98">
        <v>0.9</v>
      </c>
      <c r="Y98">
        <v>1.8</v>
      </c>
      <c r="Z98">
        <v>0.1</v>
      </c>
      <c r="AB98">
        <v>3.3</v>
      </c>
      <c r="AC98">
        <v>156</v>
      </c>
      <c r="AD98">
        <v>1.21</v>
      </c>
      <c r="AE98">
        <v>111</v>
      </c>
      <c r="AF98" t="s">
        <v>869</v>
      </c>
      <c r="AG98">
        <v>2.4</v>
      </c>
      <c r="AI98">
        <v>13.6</v>
      </c>
      <c r="AJ98">
        <v>2.79</v>
      </c>
      <c r="AK98">
        <v>8.4</v>
      </c>
      <c r="AL98">
        <v>31.1</v>
      </c>
      <c r="AM98">
        <v>100.2</v>
      </c>
      <c r="AN98">
        <v>12.1</v>
      </c>
      <c r="AO98">
        <v>15.4</v>
      </c>
      <c r="AP98">
        <v>13.6</v>
      </c>
      <c r="AQ98">
        <v>7.3</v>
      </c>
      <c r="AR98">
        <v>1.22</v>
      </c>
      <c r="AS98">
        <v>32.9</v>
      </c>
      <c r="AT98">
        <v>69</v>
      </c>
      <c r="AU98">
        <v>77.3</v>
      </c>
      <c r="AV98">
        <v>30.4</v>
      </c>
      <c r="AW98">
        <v>7497</v>
      </c>
      <c r="AX98" t="s">
        <v>1200</v>
      </c>
      <c r="AY98" t="s">
        <v>1201</v>
      </c>
      <c r="AZ98">
        <v>326.7</v>
      </c>
      <c r="BA98">
        <v>38.4</v>
      </c>
      <c r="BB98">
        <v>7.3</v>
      </c>
      <c r="BC98">
        <v>8.4</v>
      </c>
      <c r="BD98">
        <v>7.3</v>
      </c>
      <c r="BE98">
        <v>8.4</v>
      </c>
    </row>
    <row r="99" spans="1:57" x14ac:dyDescent="0.25">
      <c r="A99" t="s">
        <v>727</v>
      </c>
      <c r="B99">
        <v>134</v>
      </c>
      <c r="C99" t="s">
        <v>64</v>
      </c>
      <c r="D99">
        <v>2</v>
      </c>
      <c r="E99" t="s">
        <v>71</v>
      </c>
      <c r="F99" t="s">
        <v>383</v>
      </c>
      <c r="G99">
        <v>1031</v>
      </c>
      <c r="H99">
        <v>0</v>
      </c>
      <c r="I99">
        <v>0</v>
      </c>
      <c r="J99">
        <v>0</v>
      </c>
      <c r="K99" t="s">
        <v>314</v>
      </c>
      <c r="L99" t="s">
        <v>721</v>
      </c>
      <c r="M99" t="s">
        <v>721</v>
      </c>
      <c r="P99" t="s">
        <v>87</v>
      </c>
      <c r="Q99">
        <v>5.9</v>
      </c>
      <c r="R99">
        <v>7.5890000000000004</v>
      </c>
      <c r="S99">
        <v>4.5</v>
      </c>
      <c r="T99">
        <v>16.3</v>
      </c>
      <c r="U99">
        <v>5.9</v>
      </c>
      <c r="V99">
        <v>100.7</v>
      </c>
      <c r="W99">
        <v>99.8</v>
      </c>
      <c r="X99">
        <v>0.7</v>
      </c>
      <c r="Y99">
        <v>-0.7</v>
      </c>
      <c r="Z99">
        <v>0.2</v>
      </c>
      <c r="AB99">
        <v>4.4000000000000004</v>
      </c>
      <c r="AC99">
        <v>155</v>
      </c>
      <c r="AD99">
        <v>1.05</v>
      </c>
      <c r="AE99">
        <v>105</v>
      </c>
      <c r="AF99" t="s">
        <v>950</v>
      </c>
      <c r="AG99">
        <v>1.5</v>
      </c>
      <c r="AI99">
        <v>13.5</v>
      </c>
      <c r="AJ99">
        <v>2.2999999999999998</v>
      </c>
      <c r="AK99">
        <v>10.5</v>
      </c>
      <c r="AL99">
        <v>33.799999999999997</v>
      </c>
      <c r="AM99">
        <v>100.1</v>
      </c>
      <c r="AN99">
        <v>17.5</v>
      </c>
      <c r="AO99">
        <v>22</v>
      </c>
      <c r="AP99">
        <v>13.1</v>
      </c>
      <c r="AQ99">
        <v>10</v>
      </c>
      <c r="AR99">
        <v>1.1599999999999999</v>
      </c>
      <c r="AS99">
        <v>32.299999999999997</v>
      </c>
      <c r="AT99">
        <v>66.5</v>
      </c>
      <c r="AU99">
        <v>74.7</v>
      </c>
      <c r="AV99">
        <v>29.1</v>
      </c>
      <c r="AW99">
        <v>7532</v>
      </c>
      <c r="AX99" t="s">
        <v>1226</v>
      </c>
      <c r="AY99" t="s">
        <v>1227</v>
      </c>
      <c r="AZ99">
        <v>312.39999999999998</v>
      </c>
      <c r="BA99">
        <v>25.8</v>
      </c>
      <c r="BB99">
        <v>10</v>
      </c>
      <c r="BC99">
        <v>10.5</v>
      </c>
      <c r="BD99">
        <v>10</v>
      </c>
      <c r="BE99">
        <v>10.5</v>
      </c>
    </row>
    <row r="100" spans="1:57" x14ac:dyDescent="0.25">
      <c r="A100" t="s">
        <v>748</v>
      </c>
      <c r="B100">
        <v>129</v>
      </c>
      <c r="C100" t="s">
        <v>66</v>
      </c>
      <c r="D100">
        <v>2</v>
      </c>
      <c r="E100" t="s">
        <v>142</v>
      </c>
      <c r="F100" t="s">
        <v>382</v>
      </c>
      <c r="G100">
        <v>1098.7</v>
      </c>
      <c r="H100">
        <v>1</v>
      </c>
      <c r="I100">
        <v>1</v>
      </c>
      <c r="J100">
        <v>0</v>
      </c>
      <c r="K100" t="s">
        <v>297</v>
      </c>
      <c r="L100" t="s">
        <v>721</v>
      </c>
      <c r="M100" t="s">
        <v>721</v>
      </c>
      <c r="P100" t="s">
        <v>88</v>
      </c>
      <c r="Q100">
        <v>6.3</v>
      </c>
      <c r="R100">
        <v>7.5460000000000003</v>
      </c>
      <c r="S100">
        <v>5.14</v>
      </c>
      <c r="T100">
        <v>7.35</v>
      </c>
      <c r="U100">
        <v>6.3</v>
      </c>
      <c r="V100">
        <v>92</v>
      </c>
      <c r="W100">
        <v>91.2</v>
      </c>
      <c r="X100">
        <v>0.9</v>
      </c>
      <c r="Y100">
        <v>7.9</v>
      </c>
      <c r="Z100">
        <v>0</v>
      </c>
      <c r="AB100">
        <v>4.4000000000000004</v>
      </c>
      <c r="AC100">
        <v>162</v>
      </c>
      <c r="AD100">
        <v>0.76</v>
      </c>
      <c r="AE100">
        <v>111</v>
      </c>
      <c r="AF100" t="s">
        <v>966</v>
      </c>
      <c r="AG100">
        <v>2.4</v>
      </c>
      <c r="AI100">
        <v>13.1</v>
      </c>
      <c r="AJ100">
        <v>2.99</v>
      </c>
      <c r="AK100">
        <v>11</v>
      </c>
      <c r="AL100">
        <v>33.799999999999997</v>
      </c>
      <c r="AM100">
        <v>100.2</v>
      </c>
      <c r="AN100">
        <v>17.5</v>
      </c>
      <c r="AO100">
        <v>21.9</v>
      </c>
      <c r="AP100">
        <v>14</v>
      </c>
      <c r="AQ100">
        <v>10.1</v>
      </c>
      <c r="AR100">
        <v>0.82</v>
      </c>
      <c r="AS100">
        <v>33.4</v>
      </c>
      <c r="AT100">
        <v>68.599999999999994</v>
      </c>
      <c r="AU100">
        <v>77.5</v>
      </c>
      <c r="AV100">
        <v>31.2</v>
      </c>
      <c r="AW100">
        <v>7534</v>
      </c>
      <c r="AX100" t="s">
        <v>1257</v>
      </c>
      <c r="AY100" t="s">
        <v>1258</v>
      </c>
      <c r="AZ100">
        <v>325.89999999999998</v>
      </c>
      <c r="BA100">
        <v>28.5</v>
      </c>
      <c r="BB100">
        <v>10.1</v>
      </c>
      <c r="BC100">
        <v>11</v>
      </c>
      <c r="BD100">
        <v>10</v>
      </c>
      <c r="BE100">
        <v>10.9</v>
      </c>
    </row>
    <row r="101" spans="1:57" x14ac:dyDescent="0.25">
      <c r="A101" t="s">
        <v>662</v>
      </c>
      <c r="B101">
        <v>124</v>
      </c>
      <c r="C101" t="s">
        <v>385</v>
      </c>
      <c r="D101">
        <v>2</v>
      </c>
      <c r="E101" t="s">
        <v>40</v>
      </c>
      <c r="F101" t="s">
        <v>382</v>
      </c>
      <c r="G101">
        <v>793.5</v>
      </c>
      <c r="H101">
        <v>0</v>
      </c>
      <c r="I101">
        <v>1</v>
      </c>
      <c r="J101">
        <v>1</v>
      </c>
      <c r="K101" t="s">
        <v>306</v>
      </c>
      <c r="L101" t="s">
        <v>721</v>
      </c>
      <c r="M101" t="s">
        <v>721</v>
      </c>
      <c r="P101" t="s">
        <v>301</v>
      </c>
      <c r="Q101">
        <v>5.4</v>
      </c>
      <c r="R101">
        <v>7.5110000000000001</v>
      </c>
      <c r="S101">
        <v>5.0999999999999996</v>
      </c>
      <c r="T101">
        <v>10</v>
      </c>
      <c r="U101">
        <v>5.4</v>
      </c>
      <c r="V101">
        <v>99.8</v>
      </c>
      <c r="W101">
        <v>98.4</v>
      </c>
      <c r="X101">
        <v>1</v>
      </c>
      <c r="Y101">
        <v>0.2</v>
      </c>
      <c r="Z101">
        <v>0.4</v>
      </c>
      <c r="AB101">
        <v>3.2</v>
      </c>
      <c r="AC101">
        <v>148</v>
      </c>
      <c r="AD101">
        <v>1.1000000000000001</v>
      </c>
      <c r="AE101">
        <v>102</v>
      </c>
      <c r="AF101" t="s">
        <v>1204</v>
      </c>
      <c r="AG101">
        <v>2.2999999999999998</v>
      </c>
      <c r="AI101">
        <v>12.2</v>
      </c>
      <c r="AJ101">
        <v>2.5499999999999998</v>
      </c>
      <c r="AK101">
        <v>7.6</v>
      </c>
      <c r="AL101">
        <v>30.9</v>
      </c>
      <c r="AM101">
        <v>100.1</v>
      </c>
      <c r="AN101">
        <v>15.1</v>
      </c>
      <c r="AO101">
        <v>18.3</v>
      </c>
      <c r="AP101">
        <v>12</v>
      </c>
      <c r="AQ101">
        <v>7</v>
      </c>
      <c r="AR101">
        <v>1.17</v>
      </c>
      <c r="AS101">
        <v>30.6</v>
      </c>
      <c r="AT101">
        <v>64.099999999999994</v>
      </c>
      <c r="AU101">
        <v>71.099999999999994</v>
      </c>
      <c r="AV101">
        <v>26.7</v>
      </c>
      <c r="AW101">
        <v>7496</v>
      </c>
      <c r="AX101" t="s">
        <v>1205</v>
      </c>
      <c r="AY101" t="s">
        <v>1206</v>
      </c>
      <c r="AZ101">
        <v>304.10000000000002</v>
      </c>
      <c r="BA101">
        <v>30.8</v>
      </c>
      <c r="BB101">
        <v>7</v>
      </c>
      <c r="BC101">
        <v>7.6</v>
      </c>
      <c r="BD101">
        <v>7</v>
      </c>
      <c r="BE101">
        <v>7.6</v>
      </c>
    </row>
    <row r="102" spans="1:57" x14ac:dyDescent="0.25">
      <c r="A102" t="s">
        <v>631</v>
      </c>
      <c r="B102">
        <v>118</v>
      </c>
      <c r="C102" t="s">
        <v>68</v>
      </c>
      <c r="D102">
        <v>2</v>
      </c>
      <c r="E102" t="s">
        <v>40</v>
      </c>
      <c r="F102" t="s">
        <v>382</v>
      </c>
      <c r="G102">
        <v>1303</v>
      </c>
      <c r="H102">
        <v>0</v>
      </c>
      <c r="I102">
        <v>1</v>
      </c>
      <c r="J102">
        <v>1</v>
      </c>
      <c r="K102" t="s">
        <v>324</v>
      </c>
      <c r="L102" t="s">
        <v>721</v>
      </c>
      <c r="M102" t="s">
        <v>721</v>
      </c>
      <c r="P102" t="s">
        <v>89</v>
      </c>
      <c r="Q102">
        <v>6.3</v>
      </c>
      <c r="R102">
        <v>7.5339999999999998</v>
      </c>
      <c r="S102">
        <v>5</v>
      </c>
      <c r="T102">
        <v>8.1199999999999992</v>
      </c>
      <c r="U102">
        <v>6.3</v>
      </c>
      <c r="V102">
        <v>98.1</v>
      </c>
      <c r="W102">
        <v>97.3</v>
      </c>
      <c r="X102">
        <v>0.9</v>
      </c>
      <c r="Y102">
        <v>1.9</v>
      </c>
      <c r="Z102">
        <v>-0.1</v>
      </c>
      <c r="AB102">
        <v>3.2</v>
      </c>
      <c r="AC102">
        <v>142</v>
      </c>
      <c r="AD102">
        <v>1.43</v>
      </c>
      <c r="AE102">
        <v>102</v>
      </c>
      <c r="AF102" t="s">
        <v>676</v>
      </c>
      <c r="AG102">
        <v>2.2000000000000002</v>
      </c>
      <c r="AI102">
        <v>13.8</v>
      </c>
      <c r="AJ102">
        <v>2.4500000000000002</v>
      </c>
      <c r="AK102">
        <v>8.9</v>
      </c>
      <c r="AL102">
        <v>32.1</v>
      </c>
      <c r="AM102">
        <v>100.1</v>
      </c>
      <c r="AN102">
        <v>8.6999999999999993</v>
      </c>
      <c r="AO102">
        <v>11.9</v>
      </c>
      <c r="AP102">
        <v>13.9</v>
      </c>
      <c r="AQ102">
        <v>8.3000000000000007</v>
      </c>
      <c r="AR102">
        <v>1.54</v>
      </c>
      <c r="AS102">
        <v>31.6</v>
      </c>
      <c r="AT102">
        <v>64.900000000000006</v>
      </c>
      <c r="AU102">
        <v>73.3</v>
      </c>
      <c r="AV102">
        <v>30.9</v>
      </c>
      <c r="AW102">
        <v>7512</v>
      </c>
      <c r="AX102" t="s">
        <v>1211</v>
      </c>
      <c r="AY102" t="s">
        <v>955</v>
      </c>
      <c r="AZ102">
        <v>295.2</v>
      </c>
      <c r="BA102">
        <v>29.3</v>
      </c>
      <c r="BB102">
        <v>8.3000000000000007</v>
      </c>
      <c r="BC102">
        <v>8.9</v>
      </c>
      <c r="BD102">
        <v>8.3000000000000007</v>
      </c>
      <c r="BE102">
        <v>8.9</v>
      </c>
    </row>
    <row r="103" spans="1:57" x14ac:dyDescent="0.25">
      <c r="A103" t="s">
        <v>785</v>
      </c>
      <c r="B103">
        <v>125</v>
      </c>
      <c r="C103" t="s">
        <v>70</v>
      </c>
      <c r="D103">
        <v>2</v>
      </c>
      <c r="E103" t="s">
        <v>142</v>
      </c>
      <c r="F103" t="s">
        <v>383</v>
      </c>
      <c r="G103">
        <v>1327</v>
      </c>
      <c r="H103">
        <v>1</v>
      </c>
      <c r="I103">
        <v>1</v>
      </c>
      <c r="J103">
        <v>0</v>
      </c>
      <c r="K103" t="s">
        <v>310</v>
      </c>
      <c r="L103" t="s">
        <v>721</v>
      </c>
      <c r="M103" t="s">
        <v>721</v>
      </c>
      <c r="P103" t="s">
        <v>90</v>
      </c>
      <c r="Q103">
        <v>6.1</v>
      </c>
      <c r="R103">
        <v>7.4109999999999996</v>
      </c>
      <c r="S103">
        <v>6.99</v>
      </c>
      <c r="T103">
        <v>9.99</v>
      </c>
      <c r="U103">
        <v>6.1</v>
      </c>
      <c r="V103">
        <v>98.9</v>
      </c>
      <c r="W103">
        <v>97.8</v>
      </c>
      <c r="X103">
        <v>0.9</v>
      </c>
      <c r="Y103">
        <v>1.1000000000000001</v>
      </c>
      <c r="Z103">
        <v>0.2</v>
      </c>
      <c r="AB103">
        <v>4.4000000000000004</v>
      </c>
      <c r="AC103">
        <v>140</v>
      </c>
      <c r="AD103">
        <v>1.41</v>
      </c>
      <c r="AE103">
        <v>99</v>
      </c>
      <c r="AF103" t="s">
        <v>728</v>
      </c>
      <c r="AG103">
        <v>0.8</v>
      </c>
      <c r="AI103">
        <v>13.6</v>
      </c>
      <c r="AJ103">
        <v>2.88</v>
      </c>
      <c r="AK103">
        <v>8.6</v>
      </c>
      <c r="AL103">
        <v>31.3</v>
      </c>
      <c r="AM103">
        <v>100.1</v>
      </c>
      <c r="AN103">
        <v>7.5</v>
      </c>
      <c r="AO103">
        <v>12</v>
      </c>
      <c r="AP103">
        <v>13.6</v>
      </c>
      <c r="AQ103">
        <v>7.5</v>
      </c>
      <c r="AR103">
        <v>1.42</v>
      </c>
      <c r="AS103">
        <v>33.299999999999997</v>
      </c>
      <c r="AT103">
        <v>69.8</v>
      </c>
      <c r="AU103">
        <v>78.099999999999994</v>
      </c>
      <c r="AV103">
        <v>30.2</v>
      </c>
      <c r="AW103">
        <v>7500</v>
      </c>
      <c r="AX103" t="s">
        <v>653</v>
      </c>
      <c r="AY103" t="s">
        <v>1264</v>
      </c>
      <c r="AZ103">
        <v>282.3</v>
      </c>
      <c r="BA103">
        <v>38.799999999999997</v>
      </c>
      <c r="BB103">
        <v>7.5</v>
      </c>
      <c r="BC103">
        <v>8.6</v>
      </c>
      <c r="BD103">
        <v>7.5</v>
      </c>
      <c r="BE103">
        <v>8.6</v>
      </c>
    </row>
    <row r="104" spans="1:57" x14ac:dyDescent="0.25">
      <c r="A104" t="s">
        <v>622</v>
      </c>
      <c r="B104">
        <v>138</v>
      </c>
      <c r="C104" t="s">
        <v>386</v>
      </c>
      <c r="D104">
        <v>2</v>
      </c>
      <c r="E104" t="s">
        <v>54</v>
      </c>
      <c r="F104" t="s">
        <v>383</v>
      </c>
      <c r="G104">
        <v>1193</v>
      </c>
      <c r="H104">
        <v>0</v>
      </c>
      <c r="I104">
        <v>0</v>
      </c>
      <c r="J104">
        <v>1</v>
      </c>
      <c r="K104" t="s">
        <v>303</v>
      </c>
      <c r="L104" t="s">
        <v>721</v>
      </c>
      <c r="M104" t="s">
        <v>721</v>
      </c>
      <c r="P104" t="s">
        <v>305</v>
      </c>
      <c r="Q104">
        <v>5.9</v>
      </c>
      <c r="R104">
        <v>7.4530000000000003</v>
      </c>
      <c r="S104">
        <v>5.7</v>
      </c>
      <c r="T104">
        <v>22.6</v>
      </c>
      <c r="U104">
        <v>5.9</v>
      </c>
      <c r="V104">
        <v>100.9</v>
      </c>
      <c r="W104">
        <v>100</v>
      </c>
      <c r="X104">
        <v>0.7</v>
      </c>
      <c r="Y104">
        <v>-0.9</v>
      </c>
      <c r="Z104">
        <v>0.2</v>
      </c>
      <c r="AB104">
        <v>3.7</v>
      </c>
      <c r="AC104">
        <v>165</v>
      </c>
      <c r="AD104">
        <v>0.66</v>
      </c>
      <c r="AE104">
        <v>117</v>
      </c>
      <c r="AF104" t="s">
        <v>1170</v>
      </c>
      <c r="AG104">
        <v>1.4</v>
      </c>
      <c r="AI104">
        <v>13.5</v>
      </c>
      <c r="AJ104">
        <v>2.66</v>
      </c>
      <c r="AK104">
        <v>5.9</v>
      </c>
      <c r="AL104">
        <v>29.3</v>
      </c>
      <c r="AM104">
        <v>100.2</v>
      </c>
      <c r="AN104">
        <v>18.2</v>
      </c>
      <c r="AO104">
        <v>21.9</v>
      </c>
      <c r="AP104">
        <v>13</v>
      </c>
      <c r="AQ104">
        <v>5.4</v>
      </c>
      <c r="AR104">
        <v>0.68</v>
      </c>
      <c r="AS104">
        <v>29.9</v>
      </c>
      <c r="AT104">
        <v>62.6</v>
      </c>
      <c r="AU104">
        <v>69.900000000000006</v>
      </c>
      <c r="AV104">
        <v>28.9</v>
      </c>
      <c r="AW104">
        <v>7475</v>
      </c>
      <c r="AX104" t="s">
        <v>1171</v>
      </c>
      <c r="AY104" t="s">
        <v>1172</v>
      </c>
      <c r="AZ104">
        <v>350.6</v>
      </c>
      <c r="BA104">
        <v>35.200000000000003</v>
      </c>
      <c r="BB104">
        <v>5.4</v>
      </c>
      <c r="BC104">
        <v>5.9</v>
      </c>
      <c r="BD104">
        <v>5.4</v>
      </c>
      <c r="BE104">
        <v>5.9</v>
      </c>
    </row>
    <row r="105" spans="1:57" x14ac:dyDescent="0.25">
      <c r="A105" t="s">
        <v>835</v>
      </c>
      <c r="B105">
        <v>121</v>
      </c>
      <c r="C105" t="s">
        <v>388</v>
      </c>
      <c r="D105">
        <v>2</v>
      </c>
      <c r="E105" t="s">
        <v>146</v>
      </c>
      <c r="F105" t="s">
        <v>383</v>
      </c>
      <c r="G105">
        <v>741.5</v>
      </c>
      <c r="H105">
        <v>0</v>
      </c>
      <c r="I105">
        <v>1</v>
      </c>
      <c r="J105">
        <v>0</v>
      </c>
      <c r="K105" t="s">
        <v>300</v>
      </c>
      <c r="L105" t="s">
        <v>721</v>
      </c>
      <c r="M105" t="s">
        <v>721</v>
      </c>
      <c r="P105" t="s">
        <v>307</v>
      </c>
      <c r="Q105">
        <v>5.5</v>
      </c>
      <c r="R105">
        <v>7.52</v>
      </c>
      <c r="S105">
        <v>5.29</v>
      </c>
      <c r="T105">
        <v>21.9</v>
      </c>
      <c r="U105">
        <v>5.5</v>
      </c>
      <c r="V105">
        <v>100.8</v>
      </c>
      <c r="W105">
        <v>99.8</v>
      </c>
      <c r="X105">
        <v>0.6</v>
      </c>
      <c r="Y105">
        <v>-0.8</v>
      </c>
      <c r="Z105">
        <v>0.4</v>
      </c>
      <c r="AB105">
        <v>4.7</v>
      </c>
      <c r="AC105">
        <v>138</v>
      </c>
      <c r="AD105">
        <v>1.39</v>
      </c>
      <c r="AE105">
        <v>98</v>
      </c>
      <c r="AF105" t="s">
        <v>1274</v>
      </c>
      <c r="AG105">
        <v>1.5</v>
      </c>
      <c r="AI105">
        <v>12.7</v>
      </c>
      <c r="AJ105">
        <v>2.4700000000000002</v>
      </c>
      <c r="AK105">
        <v>9.5</v>
      </c>
      <c r="AL105">
        <v>32.6</v>
      </c>
      <c r="AM105">
        <v>100.2</v>
      </c>
      <c r="AN105">
        <v>7.2</v>
      </c>
      <c r="AO105">
        <v>11.9</v>
      </c>
      <c r="AP105">
        <v>12.2</v>
      </c>
      <c r="AQ105">
        <v>8.8000000000000007</v>
      </c>
      <c r="AR105">
        <v>1.49</v>
      </c>
      <c r="AS105">
        <v>32.4</v>
      </c>
      <c r="AT105">
        <v>67.8</v>
      </c>
      <c r="AU105">
        <v>75.3</v>
      </c>
      <c r="AV105">
        <v>27.1</v>
      </c>
      <c r="AW105">
        <v>7518</v>
      </c>
      <c r="AX105" t="s">
        <v>1275</v>
      </c>
      <c r="AY105" t="s">
        <v>1276</v>
      </c>
      <c r="AZ105">
        <v>277.8</v>
      </c>
      <c r="BA105">
        <v>30.2</v>
      </c>
      <c r="BB105">
        <v>8.8000000000000007</v>
      </c>
      <c r="BC105">
        <v>9.5</v>
      </c>
      <c r="BD105">
        <v>8.8000000000000007</v>
      </c>
      <c r="BE105">
        <v>9.5</v>
      </c>
    </row>
    <row r="106" spans="1:57" x14ac:dyDescent="0.25">
      <c r="A106" t="s">
        <v>824</v>
      </c>
      <c r="B106">
        <v>127</v>
      </c>
      <c r="C106" t="s">
        <v>389</v>
      </c>
      <c r="D106">
        <v>2</v>
      </c>
      <c r="E106" t="s">
        <v>146</v>
      </c>
      <c r="F106" t="s">
        <v>383</v>
      </c>
      <c r="G106">
        <v>1281</v>
      </c>
      <c r="H106">
        <v>0</v>
      </c>
      <c r="I106">
        <v>1</v>
      </c>
      <c r="J106">
        <v>0</v>
      </c>
      <c r="K106" t="s">
        <v>296</v>
      </c>
      <c r="L106" t="s">
        <v>721</v>
      </c>
      <c r="M106" t="s">
        <v>721</v>
      </c>
      <c r="P106" t="s">
        <v>309</v>
      </c>
      <c r="Q106">
        <v>4.7</v>
      </c>
      <c r="R106">
        <v>7.5030000000000001</v>
      </c>
      <c r="S106">
        <v>5.62</v>
      </c>
      <c r="T106">
        <v>5.25</v>
      </c>
      <c r="U106">
        <v>4.7</v>
      </c>
      <c r="V106">
        <v>92.3</v>
      </c>
      <c r="W106">
        <v>88.8</v>
      </c>
      <c r="X106">
        <v>3.1</v>
      </c>
      <c r="Y106">
        <v>7.4</v>
      </c>
      <c r="Z106">
        <v>0.7</v>
      </c>
      <c r="AB106">
        <v>4.9000000000000004</v>
      </c>
      <c r="AC106">
        <v>138</v>
      </c>
      <c r="AD106">
        <v>1.2</v>
      </c>
      <c r="AE106">
        <v>93</v>
      </c>
      <c r="AF106" t="s">
        <v>848</v>
      </c>
      <c r="AG106">
        <v>2.2999999999999998</v>
      </c>
      <c r="AI106">
        <v>9.4</v>
      </c>
      <c r="AJ106">
        <v>1.94</v>
      </c>
      <c r="AK106">
        <v>9.9</v>
      </c>
      <c r="AL106">
        <v>32.700000000000003</v>
      </c>
      <c r="AM106">
        <v>100.2</v>
      </c>
      <c r="AN106">
        <v>11.3</v>
      </c>
      <c r="AO106">
        <v>16.2</v>
      </c>
      <c r="AP106">
        <v>10.1</v>
      </c>
      <c r="AQ106">
        <v>9.1</v>
      </c>
      <c r="AR106">
        <v>1.27</v>
      </c>
      <c r="AS106">
        <v>33</v>
      </c>
      <c r="AT106">
        <v>70.5</v>
      </c>
      <c r="AU106">
        <v>76.900000000000006</v>
      </c>
      <c r="AV106">
        <v>23.1</v>
      </c>
      <c r="AW106">
        <v>7521</v>
      </c>
      <c r="AX106" t="s">
        <v>1295</v>
      </c>
      <c r="AY106" t="s">
        <v>743</v>
      </c>
      <c r="AZ106">
        <v>279.2</v>
      </c>
      <c r="BA106">
        <v>31.4</v>
      </c>
      <c r="BB106">
        <v>9.1</v>
      </c>
      <c r="BC106">
        <v>9.9</v>
      </c>
      <c r="BD106">
        <v>8.9</v>
      </c>
      <c r="BE106">
        <v>9.8000000000000007</v>
      </c>
    </row>
    <row r="107" spans="1:57" x14ac:dyDescent="0.25">
      <c r="A107" t="s">
        <v>828</v>
      </c>
      <c r="B107">
        <v>139</v>
      </c>
      <c r="C107" t="s">
        <v>390</v>
      </c>
      <c r="D107">
        <v>2</v>
      </c>
      <c r="E107" t="s">
        <v>146</v>
      </c>
      <c r="F107" t="s">
        <v>383</v>
      </c>
      <c r="G107">
        <v>1111</v>
      </c>
      <c r="H107">
        <v>0</v>
      </c>
      <c r="I107">
        <v>1</v>
      </c>
      <c r="J107">
        <v>0</v>
      </c>
      <c r="K107" t="s">
        <v>293</v>
      </c>
      <c r="L107" t="s">
        <v>721</v>
      </c>
      <c r="M107" t="s">
        <v>721</v>
      </c>
      <c r="P107" t="s">
        <v>311</v>
      </c>
      <c r="Q107">
        <v>5.2</v>
      </c>
      <c r="R107">
        <v>7.5350000000000001</v>
      </c>
      <c r="S107">
        <v>4.99</v>
      </c>
      <c r="T107">
        <v>17.399999999999999</v>
      </c>
      <c r="U107">
        <v>5.2</v>
      </c>
      <c r="V107">
        <v>101</v>
      </c>
      <c r="W107">
        <v>99.8</v>
      </c>
      <c r="X107">
        <v>0.8</v>
      </c>
      <c r="Y107">
        <v>-1</v>
      </c>
      <c r="Z107">
        <v>0.4</v>
      </c>
      <c r="AB107">
        <v>4.3</v>
      </c>
      <c r="AC107">
        <v>148</v>
      </c>
      <c r="AD107">
        <v>1.0900000000000001</v>
      </c>
      <c r="AE107">
        <v>103</v>
      </c>
      <c r="AF107" t="s">
        <v>1298</v>
      </c>
      <c r="AG107">
        <v>3.2</v>
      </c>
      <c r="AI107">
        <v>11.8</v>
      </c>
      <c r="AJ107">
        <v>2.4700000000000002</v>
      </c>
      <c r="AK107">
        <v>9</v>
      </c>
      <c r="AL107">
        <v>32.200000000000003</v>
      </c>
      <c r="AM107">
        <v>100.2</v>
      </c>
      <c r="AN107">
        <v>13.2</v>
      </c>
      <c r="AO107">
        <v>17.5</v>
      </c>
      <c r="AP107">
        <v>11.4</v>
      </c>
      <c r="AQ107">
        <v>8.3000000000000007</v>
      </c>
      <c r="AR107">
        <v>1.17</v>
      </c>
      <c r="AS107">
        <v>31.6</v>
      </c>
      <c r="AT107">
        <v>66.400000000000006</v>
      </c>
      <c r="AU107">
        <v>73.400000000000006</v>
      </c>
      <c r="AV107">
        <v>25.5</v>
      </c>
      <c r="AW107">
        <v>7513</v>
      </c>
      <c r="AX107" t="s">
        <v>1299</v>
      </c>
      <c r="AY107" t="s">
        <v>1232</v>
      </c>
      <c r="AZ107">
        <v>298.5</v>
      </c>
      <c r="BA107">
        <v>29.2</v>
      </c>
      <c r="BB107">
        <v>8.3000000000000007</v>
      </c>
      <c r="BC107">
        <v>9</v>
      </c>
      <c r="BD107">
        <v>8.3000000000000007</v>
      </c>
      <c r="BE107">
        <v>9</v>
      </c>
    </row>
    <row r="108" spans="1:57" x14ac:dyDescent="0.25">
      <c r="A108" t="s">
        <v>635</v>
      </c>
      <c r="B108">
        <v>122</v>
      </c>
      <c r="C108" t="s">
        <v>384</v>
      </c>
      <c r="D108">
        <v>2</v>
      </c>
      <c r="E108" t="s">
        <v>40</v>
      </c>
      <c r="F108" t="s">
        <v>383</v>
      </c>
      <c r="G108">
        <v>1340.4</v>
      </c>
      <c r="H108">
        <v>0</v>
      </c>
      <c r="I108">
        <v>1</v>
      </c>
      <c r="J108">
        <v>1</v>
      </c>
      <c r="K108" t="s">
        <v>316</v>
      </c>
      <c r="L108" t="s">
        <v>721</v>
      </c>
      <c r="M108" t="s">
        <v>721</v>
      </c>
      <c r="P108" t="s">
        <v>313</v>
      </c>
      <c r="Q108">
        <v>6.1</v>
      </c>
      <c r="R108">
        <v>7.6</v>
      </c>
      <c r="S108">
        <v>4.25</v>
      </c>
      <c r="T108">
        <v>32.4</v>
      </c>
      <c r="U108">
        <v>6.1</v>
      </c>
      <c r="V108">
        <v>101.2</v>
      </c>
      <c r="W108">
        <v>100.5</v>
      </c>
      <c r="X108">
        <v>0.6</v>
      </c>
      <c r="Y108">
        <v>-1.2</v>
      </c>
      <c r="Z108">
        <v>0.1</v>
      </c>
      <c r="AB108">
        <v>3.7</v>
      </c>
      <c r="AC108">
        <v>142</v>
      </c>
      <c r="AD108">
        <v>1.42</v>
      </c>
      <c r="AE108">
        <v>104</v>
      </c>
      <c r="AF108" t="s">
        <v>839</v>
      </c>
      <c r="AG108">
        <v>2</v>
      </c>
      <c r="AI108">
        <v>14.3</v>
      </c>
      <c r="AJ108">
        <v>2.2599999999999998</v>
      </c>
      <c r="AK108">
        <v>9.6999999999999993</v>
      </c>
      <c r="AL108">
        <v>33.1</v>
      </c>
      <c r="AM108">
        <v>100.1</v>
      </c>
      <c r="AN108">
        <v>7.1</v>
      </c>
      <c r="AO108">
        <v>10.8</v>
      </c>
      <c r="AP108">
        <v>13.6</v>
      </c>
      <c r="AQ108">
        <v>9.3000000000000007</v>
      </c>
      <c r="AR108">
        <v>1.58</v>
      </c>
      <c r="AS108">
        <v>31.3</v>
      </c>
      <c r="AT108">
        <v>64</v>
      </c>
      <c r="AU108">
        <v>72.3</v>
      </c>
      <c r="AV108">
        <v>30.2</v>
      </c>
      <c r="AW108">
        <v>7525</v>
      </c>
      <c r="AX108" t="s">
        <v>1202</v>
      </c>
      <c r="AY108" t="s">
        <v>1203</v>
      </c>
      <c r="AZ108">
        <v>295.3</v>
      </c>
      <c r="BA108">
        <v>25.1</v>
      </c>
      <c r="BB108">
        <v>9.3000000000000007</v>
      </c>
      <c r="BC108">
        <v>9.6999999999999993</v>
      </c>
      <c r="BD108">
        <v>9.3000000000000007</v>
      </c>
      <c r="BE108">
        <v>9.6999999999999993</v>
      </c>
    </row>
    <row r="109" spans="1:57" x14ac:dyDescent="0.25">
      <c r="A109" t="s">
        <v>759</v>
      </c>
      <c r="B109">
        <v>116</v>
      </c>
      <c r="C109" t="s">
        <v>387</v>
      </c>
      <c r="D109">
        <v>2</v>
      </c>
      <c r="E109" t="s">
        <v>142</v>
      </c>
      <c r="F109" t="s">
        <v>382</v>
      </c>
      <c r="G109">
        <v>1270</v>
      </c>
      <c r="H109">
        <v>1</v>
      </c>
      <c r="I109">
        <v>1</v>
      </c>
      <c r="J109">
        <v>0</v>
      </c>
      <c r="K109" t="s">
        <v>302</v>
      </c>
      <c r="L109" t="s">
        <v>721</v>
      </c>
      <c r="M109" t="s">
        <v>721</v>
      </c>
      <c r="P109" t="s">
        <v>315</v>
      </c>
      <c r="Q109">
        <v>5.6</v>
      </c>
      <c r="R109">
        <v>7.5069999999999997</v>
      </c>
      <c r="S109">
        <v>4.8600000000000003</v>
      </c>
      <c r="T109">
        <v>24.7</v>
      </c>
      <c r="U109">
        <v>5.6</v>
      </c>
      <c r="V109">
        <v>101.1</v>
      </c>
      <c r="W109">
        <v>100.1</v>
      </c>
      <c r="X109">
        <v>0.7</v>
      </c>
      <c r="Y109">
        <v>-1.1000000000000001</v>
      </c>
      <c r="Z109">
        <v>0.3</v>
      </c>
      <c r="AB109">
        <v>4.0999999999999996</v>
      </c>
      <c r="AC109">
        <v>200</v>
      </c>
      <c r="AD109">
        <v>0.68</v>
      </c>
      <c r="AE109">
        <v>135</v>
      </c>
      <c r="AF109" t="s">
        <v>1094</v>
      </c>
      <c r="AG109">
        <v>3.1</v>
      </c>
      <c r="AI109">
        <v>13.1</v>
      </c>
      <c r="AJ109">
        <v>2.5499999999999998</v>
      </c>
      <c r="AK109">
        <v>5.8</v>
      </c>
      <c r="AL109">
        <v>29.4</v>
      </c>
      <c r="AM109">
        <v>100.1</v>
      </c>
      <c r="AN109">
        <v>36.700000000000003</v>
      </c>
      <c r="AO109">
        <v>40.799999999999997</v>
      </c>
      <c r="AP109">
        <v>12.5</v>
      </c>
      <c r="AQ109">
        <v>5.5</v>
      </c>
      <c r="AR109">
        <v>0.73</v>
      </c>
      <c r="AS109">
        <v>28.9</v>
      </c>
      <c r="AT109">
        <v>60.3</v>
      </c>
      <c r="AU109">
        <v>67.2</v>
      </c>
      <c r="AV109">
        <v>27.8</v>
      </c>
      <c r="AW109">
        <v>7477</v>
      </c>
      <c r="AX109" t="s">
        <v>1242</v>
      </c>
      <c r="AY109" t="s">
        <v>1243</v>
      </c>
      <c r="AZ109">
        <v>403.9</v>
      </c>
      <c r="BA109">
        <v>31.1</v>
      </c>
      <c r="BB109">
        <v>5.5</v>
      </c>
      <c r="BC109">
        <v>5.8</v>
      </c>
      <c r="BD109">
        <v>5.5</v>
      </c>
      <c r="BE109">
        <v>5.8</v>
      </c>
    </row>
    <row r="110" spans="1:57" x14ac:dyDescent="0.25">
      <c r="A110" t="s">
        <v>959</v>
      </c>
      <c r="B110">
        <v>120</v>
      </c>
      <c r="C110" t="s">
        <v>202</v>
      </c>
      <c r="D110">
        <v>2</v>
      </c>
      <c r="E110" t="s">
        <v>142</v>
      </c>
      <c r="F110" t="s">
        <v>383</v>
      </c>
      <c r="G110">
        <v>1180.8</v>
      </c>
      <c r="H110">
        <v>1</v>
      </c>
      <c r="I110">
        <v>1</v>
      </c>
      <c r="J110">
        <v>0</v>
      </c>
      <c r="K110" t="s">
        <v>320</v>
      </c>
      <c r="L110" t="s">
        <v>721</v>
      </c>
      <c r="M110" t="s">
        <v>721</v>
      </c>
      <c r="P110" t="s">
        <v>283</v>
      </c>
      <c r="Q110">
        <v>6.2</v>
      </c>
      <c r="R110">
        <v>7.4930000000000003</v>
      </c>
      <c r="S110">
        <v>5.54</v>
      </c>
      <c r="T110">
        <v>6.27</v>
      </c>
      <c r="U110">
        <v>6.2</v>
      </c>
      <c r="V110">
        <v>94.7</v>
      </c>
      <c r="W110">
        <v>93.8</v>
      </c>
      <c r="X110">
        <v>1</v>
      </c>
      <c r="Y110">
        <v>5.2</v>
      </c>
      <c r="Z110">
        <v>0</v>
      </c>
      <c r="AB110">
        <v>4.5</v>
      </c>
      <c r="AC110">
        <v>161</v>
      </c>
      <c r="AD110">
        <v>0.9</v>
      </c>
      <c r="AE110">
        <v>108</v>
      </c>
      <c r="AF110" t="s">
        <v>1027</v>
      </c>
      <c r="AG110">
        <v>1</v>
      </c>
      <c r="AI110">
        <v>13.2</v>
      </c>
      <c r="AJ110">
        <v>2.0099999999999998</v>
      </c>
      <c r="AK110">
        <v>8.6</v>
      </c>
      <c r="AL110">
        <v>31.5</v>
      </c>
      <c r="AM110">
        <v>100.1</v>
      </c>
      <c r="AN110">
        <v>21.6</v>
      </c>
      <c r="AO110">
        <v>26.1</v>
      </c>
      <c r="AP110">
        <v>13.8</v>
      </c>
      <c r="AQ110">
        <v>7.8</v>
      </c>
      <c r="AR110">
        <v>0.95</v>
      </c>
      <c r="AS110">
        <v>31.9</v>
      </c>
      <c r="AT110">
        <v>66</v>
      </c>
      <c r="AU110">
        <v>74.2</v>
      </c>
      <c r="AV110">
        <v>30.7</v>
      </c>
      <c r="AW110">
        <v>7506</v>
      </c>
      <c r="AX110" t="s">
        <v>1267</v>
      </c>
      <c r="AY110" t="s">
        <v>1268</v>
      </c>
      <c r="AZ110">
        <v>325.5</v>
      </c>
      <c r="BA110">
        <v>32.200000000000003</v>
      </c>
      <c r="BB110">
        <v>7.8</v>
      </c>
      <c r="BC110">
        <v>8.6</v>
      </c>
      <c r="BD110">
        <v>7.7</v>
      </c>
      <c r="BE110">
        <v>8.5</v>
      </c>
    </row>
    <row r="111" spans="1:57" x14ac:dyDescent="0.25">
      <c r="A111" t="s">
        <v>724</v>
      </c>
      <c r="B111">
        <v>137</v>
      </c>
      <c r="C111" t="s">
        <v>175</v>
      </c>
      <c r="D111">
        <v>2</v>
      </c>
      <c r="E111" t="s">
        <v>71</v>
      </c>
      <c r="F111" t="s">
        <v>382</v>
      </c>
      <c r="G111">
        <v>1275</v>
      </c>
      <c r="H111">
        <v>0</v>
      </c>
      <c r="I111">
        <v>0</v>
      </c>
      <c r="J111">
        <v>0</v>
      </c>
      <c r="K111" t="s">
        <v>304</v>
      </c>
      <c r="L111" t="s">
        <v>721</v>
      </c>
      <c r="M111" t="s">
        <v>721</v>
      </c>
      <c r="P111" t="s">
        <v>298</v>
      </c>
      <c r="Q111">
        <v>6.9</v>
      </c>
      <c r="R111">
        <v>7.5170000000000003</v>
      </c>
      <c r="S111">
        <v>5.16</v>
      </c>
      <c r="T111">
        <v>28.1</v>
      </c>
      <c r="U111">
        <v>6.9</v>
      </c>
      <c r="V111">
        <v>100.8</v>
      </c>
      <c r="W111">
        <v>99.9</v>
      </c>
      <c r="X111">
        <v>0.6</v>
      </c>
      <c r="Y111">
        <v>-0.8</v>
      </c>
      <c r="Z111">
        <v>0.3</v>
      </c>
      <c r="AB111">
        <v>4.5999999999999996</v>
      </c>
      <c r="AC111">
        <v>149</v>
      </c>
      <c r="AD111">
        <v>1.27</v>
      </c>
      <c r="AE111">
        <v>105</v>
      </c>
      <c r="AF111" t="s">
        <v>721</v>
      </c>
      <c r="AG111">
        <v>2</v>
      </c>
      <c r="AI111">
        <v>16.100000000000001</v>
      </c>
      <c r="AJ111">
        <v>2.4500000000000002</v>
      </c>
      <c r="AK111">
        <v>8.5</v>
      </c>
      <c r="AL111">
        <v>31.7</v>
      </c>
      <c r="AM111">
        <v>100.1</v>
      </c>
      <c r="AN111">
        <v>12.6</v>
      </c>
      <c r="AO111">
        <v>17.2</v>
      </c>
      <c r="AP111">
        <v>15.4</v>
      </c>
      <c r="AQ111">
        <v>7.9</v>
      </c>
      <c r="AR111">
        <v>1.35</v>
      </c>
      <c r="AS111">
        <v>31.4</v>
      </c>
      <c r="AT111">
        <v>63.8</v>
      </c>
      <c r="AU111">
        <v>73</v>
      </c>
      <c r="AV111">
        <v>34.299999999999997</v>
      </c>
      <c r="AW111">
        <v>7507</v>
      </c>
      <c r="AX111" t="s">
        <v>1223</v>
      </c>
      <c r="AY111" t="s">
        <v>1191</v>
      </c>
      <c r="AZ111">
        <v>301.3</v>
      </c>
      <c r="BA111">
        <v>30.4</v>
      </c>
      <c r="BB111">
        <v>7.9</v>
      </c>
      <c r="BC111">
        <v>8.5</v>
      </c>
      <c r="BD111">
        <v>7.9</v>
      </c>
      <c r="BE111">
        <v>8.5</v>
      </c>
    </row>
    <row r="112" spans="1:57" x14ac:dyDescent="0.25">
      <c r="A112" t="s">
        <v>851</v>
      </c>
      <c r="B112">
        <v>130</v>
      </c>
      <c r="C112" t="s">
        <v>145</v>
      </c>
      <c r="D112">
        <v>2</v>
      </c>
      <c r="E112" t="s">
        <v>146</v>
      </c>
      <c r="F112" t="s">
        <v>383</v>
      </c>
      <c r="G112">
        <v>902</v>
      </c>
      <c r="H112">
        <v>0</v>
      </c>
      <c r="I112">
        <v>1</v>
      </c>
      <c r="J112">
        <v>0</v>
      </c>
      <c r="K112" t="s">
        <v>326</v>
      </c>
      <c r="L112" t="s">
        <v>721</v>
      </c>
      <c r="M112" t="s">
        <v>721</v>
      </c>
      <c r="P112" t="s">
        <v>281</v>
      </c>
      <c r="Q112">
        <v>7.7</v>
      </c>
      <c r="R112">
        <v>7.3570000000000002</v>
      </c>
      <c r="S112">
        <v>7.89</v>
      </c>
      <c r="T112">
        <v>3.68</v>
      </c>
      <c r="U112">
        <v>7.7</v>
      </c>
      <c r="V112">
        <v>62.1</v>
      </c>
      <c r="W112">
        <v>61.5</v>
      </c>
      <c r="X112">
        <v>0.7</v>
      </c>
      <c r="Y112">
        <v>37.6</v>
      </c>
      <c r="Z112">
        <v>0.2</v>
      </c>
      <c r="AB112">
        <v>4.8</v>
      </c>
      <c r="AC112">
        <v>167</v>
      </c>
      <c r="AD112">
        <v>0.84</v>
      </c>
      <c r="AE112">
        <v>108</v>
      </c>
      <c r="AF112" t="s">
        <v>974</v>
      </c>
      <c r="AG112">
        <v>2.1</v>
      </c>
      <c r="AI112">
        <v>10.7</v>
      </c>
      <c r="AJ112">
        <v>3.04</v>
      </c>
      <c r="AK112">
        <v>7.6</v>
      </c>
      <c r="AL112">
        <v>29</v>
      </c>
      <c r="AM112">
        <v>100.1</v>
      </c>
      <c r="AN112">
        <v>25.6</v>
      </c>
      <c r="AO112">
        <v>30.4</v>
      </c>
      <c r="AP112">
        <v>17.100000000000001</v>
      </c>
      <c r="AQ112">
        <v>6</v>
      </c>
      <c r="AR112">
        <v>0.82</v>
      </c>
      <c r="AS112">
        <v>33.1</v>
      </c>
      <c r="AT112">
        <v>68.8</v>
      </c>
      <c r="AU112">
        <v>78.3</v>
      </c>
      <c r="AV112">
        <v>38.1</v>
      </c>
      <c r="AW112">
        <v>7478</v>
      </c>
      <c r="AX112" t="s">
        <v>718</v>
      </c>
      <c r="AY112" t="s">
        <v>747</v>
      </c>
      <c r="AZ112">
        <v>336.5</v>
      </c>
      <c r="BA112">
        <v>44</v>
      </c>
      <c r="BB112">
        <v>6</v>
      </c>
      <c r="BC112">
        <v>7.6</v>
      </c>
      <c r="BD112">
        <v>5.0999999999999996</v>
      </c>
      <c r="BE112">
        <v>7.3</v>
      </c>
    </row>
    <row r="113" spans="1:57" x14ac:dyDescent="0.25">
      <c r="A113" t="s">
        <v>643</v>
      </c>
      <c r="B113">
        <v>150</v>
      </c>
      <c r="C113" t="s">
        <v>36</v>
      </c>
      <c r="D113">
        <v>3</v>
      </c>
      <c r="E113" t="s">
        <v>40</v>
      </c>
      <c r="F113" t="s">
        <v>382</v>
      </c>
      <c r="G113">
        <v>725</v>
      </c>
      <c r="H113">
        <v>0</v>
      </c>
      <c r="I113">
        <v>1</v>
      </c>
      <c r="J113">
        <v>1</v>
      </c>
      <c r="K113" t="s">
        <v>524</v>
      </c>
      <c r="L113" t="s">
        <v>721</v>
      </c>
      <c r="M113" t="s">
        <v>721</v>
      </c>
      <c r="P113" t="s">
        <v>279</v>
      </c>
      <c r="Q113">
        <v>5.8</v>
      </c>
      <c r="R113">
        <v>7.4530000000000003</v>
      </c>
      <c r="S113">
        <v>5.47</v>
      </c>
      <c r="T113">
        <v>27.6</v>
      </c>
      <c r="U113">
        <v>5.8</v>
      </c>
      <c r="V113">
        <v>101</v>
      </c>
      <c r="W113">
        <v>100.2</v>
      </c>
      <c r="X113">
        <v>0.8</v>
      </c>
      <c r="Y113">
        <v>-1</v>
      </c>
      <c r="Z113">
        <v>0</v>
      </c>
      <c r="AB113">
        <v>3.4</v>
      </c>
      <c r="AC113">
        <v>153</v>
      </c>
      <c r="AD113">
        <v>1.03</v>
      </c>
      <c r="AE113">
        <v>110</v>
      </c>
      <c r="AF113" t="s">
        <v>871</v>
      </c>
      <c r="AG113">
        <v>2.1</v>
      </c>
      <c r="AI113">
        <v>13.4</v>
      </c>
      <c r="AJ113">
        <v>2.64</v>
      </c>
      <c r="AK113">
        <v>4.7</v>
      </c>
      <c r="AL113">
        <v>28.4</v>
      </c>
      <c r="AM113">
        <v>100.7</v>
      </c>
      <c r="AN113">
        <v>14.6</v>
      </c>
      <c r="AO113">
        <v>18</v>
      </c>
      <c r="AP113">
        <v>12.8</v>
      </c>
      <c r="AQ113">
        <v>4.3</v>
      </c>
      <c r="AR113">
        <v>1.06</v>
      </c>
      <c r="AS113">
        <v>28.7</v>
      </c>
      <c r="AT113">
        <v>60.2</v>
      </c>
      <c r="AU113">
        <v>67.099999999999994</v>
      </c>
      <c r="AV113">
        <v>28.4</v>
      </c>
      <c r="AW113">
        <v>7461</v>
      </c>
      <c r="AX113" t="s">
        <v>1190</v>
      </c>
      <c r="AY113" t="s">
        <v>1191</v>
      </c>
      <c r="AZ113">
        <v>332</v>
      </c>
      <c r="BA113">
        <v>35.299999999999997</v>
      </c>
      <c r="BB113">
        <v>4.3</v>
      </c>
      <c r="BC113">
        <v>4.7</v>
      </c>
      <c r="BD113">
        <v>4.3</v>
      </c>
      <c r="BE113">
        <v>4.7</v>
      </c>
    </row>
    <row r="114" spans="1:57" x14ac:dyDescent="0.25">
      <c r="A114" t="s">
        <v>751</v>
      </c>
      <c r="B114">
        <v>149</v>
      </c>
      <c r="C114" t="s">
        <v>586</v>
      </c>
      <c r="D114">
        <v>3</v>
      </c>
      <c r="E114" t="s">
        <v>142</v>
      </c>
      <c r="F114" t="s">
        <v>383</v>
      </c>
      <c r="G114">
        <v>847</v>
      </c>
      <c r="H114">
        <v>1</v>
      </c>
      <c r="I114">
        <v>1</v>
      </c>
      <c r="J114">
        <v>0</v>
      </c>
      <c r="K114" t="s">
        <v>517</v>
      </c>
      <c r="L114" t="s">
        <v>721</v>
      </c>
      <c r="M114" t="s">
        <v>721</v>
      </c>
      <c r="P114" t="s">
        <v>518</v>
      </c>
      <c r="Q114">
        <v>5.3</v>
      </c>
      <c r="R114">
        <v>7.5049999999999999</v>
      </c>
      <c r="S114">
        <v>4.8499999999999996</v>
      </c>
      <c r="T114">
        <v>32.6</v>
      </c>
      <c r="U114">
        <v>5.3</v>
      </c>
      <c r="V114">
        <v>101.2</v>
      </c>
      <c r="W114">
        <v>100.3</v>
      </c>
      <c r="X114">
        <v>0.8</v>
      </c>
      <c r="Y114">
        <v>-1.2</v>
      </c>
      <c r="Z114">
        <v>0.1</v>
      </c>
      <c r="AB114">
        <v>4.3</v>
      </c>
      <c r="AC114">
        <v>149</v>
      </c>
      <c r="AD114">
        <v>1.04</v>
      </c>
      <c r="AE114">
        <v>108</v>
      </c>
      <c r="AF114" t="s">
        <v>756</v>
      </c>
      <c r="AG114">
        <v>3</v>
      </c>
      <c r="AI114">
        <v>12.6</v>
      </c>
      <c r="AJ114">
        <v>2.5</v>
      </c>
      <c r="AK114">
        <v>5.6</v>
      </c>
      <c r="AL114">
        <v>29.2</v>
      </c>
      <c r="AM114">
        <v>100.7</v>
      </c>
      <c r="AN114">
        <v>12.9</v>
      </c>
      <c r="AO114">
        <v>17.2</v>
      </c>
      <c r="AP114">
        <v>11.8</v>
      </c>
      <c r="AQ114">
        <v>5.3</v>
      </c>
      <c r="AR114">
        <v>1.1000000000000001</v>
      </c>
      <c r="AS114">
        <v>28.7</v>
      </c>
      <c r="AT114">
        <v>60.3</v>
      </c>
      <c r="AU114">
        <v>66.8</v>
      </c>
      <c r="AV114">
        <v>26.3</v>
      </c>
      <c r="AW114">
        <v>7474</v>
      </c>
      <c r="AX114" t="s">
        <v>863</v>
      </c>
      <c r="AY114" t="s">
        <v>1261</v>
      </c>
      <c r="AZ114">
        <v>302.8</v>
      </c>
      <c r="BA114">
        <v>31.2</v>
      </c>
      <c r="BB114">
        <v>5.3</v>
      </c>
      <c r="BC114">
        <v>5.6</v>
      </c>
      <c r="BD114">
        <v>5.3</v>
      </c>
      <c r="BE114">
        <v>5.6</v>
      </c>
    </row>
    <row r="115" spans="1:57" x14ac:dyDescent="0.25">
      <c r="A115" t="s">
        <v>659</v>
      </c>
      <c r="B115">
        <v>143</v>
      </c>
      <c r="C115" t="s">
        <v>39</v>
      </c>
      <c r="D115">
        <v>3</v>
      </c>
      <c r="E115" t="s">
        <v>40</v>
      </c>
      <c r="F115" t="s">
        <v>382</v>
      </c>
      <c r="G115">
        <v>794</v>
      </c>
      <c r="H115">
        <v>0</v>
      </c>
      <c r="I115">
        <v>1</v>
      </c>
      <c r="J115">
        <v>1</v>
      </c>
      <c r="K115" t="s">
        <v>529</v>
      </c>
      <c r="L115" t="s">
        <v>721</v>
      </c>
      <c r="M115" t="s">
        <v>721</v>
      </c>
      <c r="P115" t="s">
        <v>73</v>
      </c>
      <c r="Q115">
        <v>5.4</v>
      </c>
      <c r="R115">
        <v>7.492</v>
      </c>
      <c r="S115">
        <v>5.04</v>
      </c>
      <c r="T115">
        <v>6.03</v>
      </c>
      <c r="U115">
        <v>5.4</v>
      </c>
      <c r="V115">
        <v>93.2</v>
      </c>
      <c r="W115">
        <v>92</v>
      </c>
      <c r="X115">
        <v>1.2</v>
      </c>
      <c r="Y115">
        <v>6.7</v>
      </c>
      <c r="Z115">
        <v>0.1</v>
      </c>
      <c r="AB115">
        <v>3.5</v>
      </c>
      <c r="AC115">
        <v>145</v>
      </c>
      <c r="AD115">
        <v>1.24</v>
      </c>
      <c r="AE115">
        <v>102</v>
      </c>
      <c r="AF115" t="s">
        <v>1212</v>
      </c>
      <c r="AG115">
        <v>2.2000000000000002</v>
      </c>
      <c r="AI115">
        <v>11.4</v>
      </c>
      <c r="AJ115">
        <v>2.1800000000000002</v>
      </c>
      <c r="AK115">
        <v>5.7</v>
      </c>
      <c r="AL115">
        <v>29.1</v>
      </c>
      <c r="AM115">
        <v>100.7</v>
      </c>
      <c r="AN115">
        <v>13.8</v>
      </c>
      <c r="AO115">
        <v>17.3</v>
      </c>
      <c r="AP115">
        <v>12</v>
      </c>
      <c r="AQ115">
        <v>5.3</v>
      </c>
      <c r="AR115">
        <v>1.31</v>
      </c>
      <c r="AS115">
        <v>29</v>
      </c>
      <c r="AT115">
        <v>61</v>
      </c>
      <c r="AU115">
        <v>67.5</v>
      </c>
      <c r="AV115">
        <v>26.9</v>
      </c>
      <c r="AW115">
        <v>7474</v>
      </c>
      <c r="AX115" t="s">
        <v>1181</v>
      </c>
      <c r="AY115" t="s">
        <v>905</v>
      </c>
      <c r="AZ115">
        <v>308.39999999999998</v>
      </c>
      <c r="BA115">
        <v>32.200000000000003</v>
      </c>
      <c r="BB115">
        <v>5.3</v>
      </c>
      <c r="BC115">
        <v>5.7</v>
      </c>
      <c r="BD115">
        <v>5.2</v>
      </c>
      <c r="BE115">
        <v>5.6</v>
      </c>
    </row>
    <row r="116" spans="1:57" x14ac:dyDescent="0.25">
      <c r="A116" t="s">
        <v>731</v>
      </c>
      <c r="B116">
        <v>153</v>
      </c>
      <c r="C116" t="s">
        <v>584</v>
      </c>
      <c r="D116">
        <v>3</v>
      </c>
      <c r="E116" t="s">
        <v>142</v>
      </c>
      <c r="F116" t="s">
        <v>383</v>
      </c>
      <c r="G116">
        <v>777</v>
      </c>
      <c r="H116">
        <v>1</v>
      </c>
      <c r="I116">
        <v>1</v>
      </c>
      <c r="J116">
        <v>0</v>
      </c>
      <c r="K116" t="s">
        <v>541</v>
      </c>
      <c r="L116" t="s">
        <v>721</v>
      </c>
      <c r="M116" t="s">
        <v>721</v>
      </c>
      <c r="P116" t="s">
        <v>542</v>
      </c>
      <c r="Q116">
        <v>5.5</v>
      </c>
      <c r="R116">
        <v>7.5309999999999997</v>
      </c>
      <c r="S116">
        <v>5.31</v>
      </c>
      <c r="T116">
        <v>16.899999999999999</v>
      </c>
      <c r="U116">
        <v>5.5</v>
      </c>
      <c r="V116">
        <v>100.6</v>
      </c>
      <c r="W116">
        <v>99.7</v>
      </c>
      <c r="X116">
        <v>0.8</v>
      </c>
      <c r="Y116">
        <v>-0.6</v>
      </c>
      <c r="Z116">
        <v>0.1</v>
      </c>
      <c r="AB116">
        <v>4.4000000000000004</v>
      </c>
      <c r="AC116">
        <v>142</v>
      </c>
      <c r="AD116">
        <v>1.28</v>
      </c>
      <c r="AE116">
        <v>99</v>
      </c>
      <c r="AF116" t="s">
        <v>1259</v>
      </c>
      <c r="AG116">
        <v>1.4</v>
      </c>
      <c r="AI116">
        <v>12.7</v>
      </c>
      <c r="AJ116">
        <v>2.4300000000000002</v>
      </c>
      <c r="AK116">
        <v>10.6</v>
      </c>
      <c r="AL116">
        <v>33.6</v>
      </c>
      <c r="AM116">
        <v>100.7</v>
      </c>
      <c r="AN116">
        <v>8.9</v>
      </c>
      <c r="AO116">
        <v>13.3</v>
      </c>
      <c r="AP116">
        <v>12.3</v>
      </c>
      <c r="AQ116">
        <v>9.8000000000000007</v>
      </c>
      <c r="AR116">
        <v>1.38</v>
      </c>
      <c r="AS116">
        <v>33.299999999999997</v>
      </c>
      <c r="AT116">
        <v>69.599999999999994</v>
      </c>
      <c r="AU116">
        <v>77.400000000000006</v>
      </c>
      <c r="AV116">
        <v>27.3</v>
      </c>
      <c r="AW116">
        <v>7529</v>
      </c>
      <c r="AX116" t="s">
        <v>797</v>
      </c>
      <c r="AY116" t="s">
        <v>1260</v>
      </c>
      <c r="AZ116">
        <v>285</v>
      </c>
      <c r="BA116">
        <v>29.5</v>
      </c>
      <c r="BB116">
        <v>9.8000000000000007</v>
      </c>
      <c r="BC116">
        <v>10.6</v>
      </c>
      <c r="BD116">
        <v>9.8000000000000007</v>
      </c>
      <c r="BE116">
        <v>10.6</v>
      </c>
    </row>
    <row r="117" spans="1:57" x14ac:dyDescent="0.25">
      <c r="A117" t="s">
        <v>639</v>
      </c>
      <c r="B117">
        <v>145</v>
      </c>
      <c r="C117" t="s">
        <v>45</v>
      </c>
      <c r="D117">
        <v>3</v>
      </c>
      <c r="E117" t="s">
        <v>40</v>
      </c>
      <c r="F117" t="s">
        <v>383</v>
      </c>
      <c r="G117">
        <v>949.7</v>
      </c>
      <c r="H117">
        <v>0</v>
      </c>
      <c r="I117">
        <v>1</v>
      </c>
      <c r="J117">
        <v>1</v>
      </c>
      <c r="K117" t="s">
        <v>539</v>
      </c>
      <c r="L117" t="s">
        <v>721</v>
      </c>
      <c r="M117" t="s">
        <v>721</v>
      </c>
      <c r="P117" t="s">
        <v>286</v>
      </c>
      <c r="Q117">
        <v>5.4</v>
      </c>
      <c r="R117">
        <v>7.415</v>
      </c>
      <c r="S117">
        <v>6.76</v>
      </c>
      <c r="T117">
        <v>6.9</v>
      </c>
      <c r="U117">
        <v>5.4</v>
      </c>
      <c r="V117">
        <v>94.2</v>
      </c>
      <c r="W117">
        <v>92.9</v>
      </c>
      <c r="X117">
        <v>1.2</v>
      </c>
      <c r="Y117">
        <v>5.7</v>
      </c>
      <c r="Z117">
        <v>0.2</v>
      </c>
      <c r="AB117">
        <v>4</v>
      </c>
      <c r="AC117">
        <v>135</v>
      </c>
      <c r="AD117">
        <v>1.34</v>
      </c>
      <c r="AE117">
        <v>95</v>
      </c>
      <c r="AF117" t="s">
        <v>1197</v>
      </c>
      <c r="AG117">
        <v>2.1</v>
      </c>
      <c r="AI117">
        <v>11.3</v>
      </c>
      <c r="AJ117">
        <v>2.37</v>
      </c>
      <c r="AK117">
        <v>7.9</v>
      </c>
      <c r="AL117">
        <v>30.7</v>
      </c>
      <c r="AM117">
        <v>100.7</v>
      </c>
      <c r="AN117">
        <v>7.7</v>
      </c>
      <c r="AO117">
        <v>11.7</v>
      </c>
      <c r="AP117">
        <v>11.8</v>
      </c>
      <c r="AQ117">
        <v>7</v>
      </c>
      <c r="AR117">
        <v>1.35</v>
      </c>
      <c r="AS117">
        <v>32.4</v>
      </c>
      <c r="AT117">
        <v>69.099999999999994</v>
      </c>
      <c r="AU117">
        <v>76.2</v>
      </c>
      <c r="AV117">
        <v>26.5</v>
      </c>
      <c r="AW117">
        <v>7493</v>
      </c>
      <c r="AX117" t="s">
        <v>620</v>
      </c>
      <c r="AY117" t="s">
        <v>1198</v>
      </c>
      <c r="AZ117">
        <v>292.8</v>
      </c>
      <c r="BA117">
        <v>38.5</v>
      </c>
      <c r="BB117">
        <v>7</v>
      </c>
      <c r="BC117">
        <v>7.9</v>
      </c>
      <c r="BD117">
        <v>6.9</v>
      </c>
      <c r="BE117">
        <v>7.8</v>
      </c>
    </row>
    <row r="118" spans="1:57" x14ac:dyDescent="0.25">
      <c r="A118" t="s">
        <v>707</v>
      </c>
      <c r="B118">
        <v>164</v>
      </c>
      <c r="C118" t="s">
        <v>51</v>
      </c>
      <c r="D118">
        <v>3</v>
      </c>
      <c r="E118" t="s">
        <v>71</v>
      </c>
      <c r="F118" t="s">
        <v>382</v>
      </c>
      <c r="G118">
        <v>993</v>
      </c>
      <c r="H118">
        <v>0</v>
      </c>
      <c r="I118">
        <v>0</v>
      </c>
      <c r="J118">
        <v>0</v>
      </c>
      <c r="K118" t="s">
        <v>528</v>
      </c>
      <c r="L118" t="s">
        <v>721</v>
      </c>
      <c r="M118" t="s">
        <v>721</v>
      </c>
      <c r="P118" t="s">
        <v>77</v>
      </c>
      <c r="Q118">
        <v>5.5</v>
      </c>
      <c r="R118">
        <v>7.5060000000000002</v>
      </c>
      <c r="S118">
        <v>5.39</v>
      </c>
      <c r="T118">
        <v>30.5</v>
      </c>
      <c r="U118">
        <v>5.5</v>
      </c>
      <c r="V118">
        <v>101.3</v>
      </c>
      <c r="W118">
        <v>100.3</v>
      </c>
      <c r="X118">
        <v>0.9</v>
      </c>
      <c r="Y118">
        <v>-1.3</v>
      </c>
      <c r="Z118">
        <v>0.1</v>
      </c>
      <c r="AB118">
        <v>4.0999999999999996</v>
      </c>
      <c r="AC118">
        <v>149</v>
      </c>
      <c r="AD118">
        <v>1.0900000000000001</v>
      </c>
      <c r="AE118">
        <v>105</v>
      </c>
      <c r="AF118" t="s">
        <v>974</v>
      </c>
      <c r="AG118">
        <v>1.3</v>
      </c>
      <c r="AI118">
        <v>12.9</v>
      </c>
      <c r="AJ118">
        <v>2.5099999999999998</v>
      </c>
      <c r="AK118">
        <v>8.8000000000000007</v>
      </c>
      <c r="AL118">
        <v>32</v>
      </c>
      <c r="AM118">
        <v>100.7</v>
      </c>
      <c r="AN118">
        <v>11.6</v>
      </c>
      <c r="AO118">
        <v>15.7</v>
      </c>
      <c r="AP118">
        <v>12.2</v>
      </c>
      <c r="AQ118">
        <v>8.1</v>
      </c>
      <c r="AR118">
        <v>1.1499999999999999</v>
      </c>
      <c r="AS118">
        <v>31.9</v>
      </c>
      <c r="AT118">
        <v>66.900000000000006</v>
      </c>
      <c r="AU118">
        <v>74.3</v>
      </c>
      <c r="AV118">
        <v>27.1</v>
      </c>
      <c r="AW118">
        <v>7510</v>
      </c>
      <c r="AX118" t="s">
        <v>1238</v>
      </c>
      <c r="AY118" t="s">
        <v>1239</v>
      </c>
      <c r="AZ118">
        <v>300.60000000000002</v>
      </c>
      <c r="BA118">
        <v>31.2</v>
      </c>
      <c r="BB118">
        <v>8.1</v>
      </c>
      <c r="BC118">
        <v>8.8000000000000007</v>
      </c>
      <c r="BD118">
        <v>8.1</v>
      </c>
      <c r="BE118">
        <v>8.8000000000000007</v>
      </c>
    </row>
    <row r="119" spans="1:57" x14ac:dyDescent="0.25">
      <c r="A119" t="s">
        <v>670</v>
      </c>
      <c r="B119">
        <v>148</v>
      </c>
      <c r="C119" t="s">
        <v>585</v>
      </c>
      <c r="D119">
        <v>3</v>
      </c>
      <c r="E119" t="s">
        <v>40</v>
      </c>
      <c r="F119" t="s">
        <v>383</v>
      </c>
      <c r="G119">
        <v>1159</v>
      </c>
      <c r="H119">
        <v>0</v>
      </c>
      <c r="I119">
        <v>1</v>
      </c>
      <c r="J119">
        <v>1</v>
      </c>
      <c r="K119" t="s">
        <v>519</v>
      </c>
      <c r="L119" t="s">
        <v>721</v>
      </c>
      <c r="M119" t="s">
        <v>721</v>
      </c>
      <c r="P119" t="s">
        <v>520</v>
      </c>
      <c r="Q119">
        <v>5.4</v>
      </c>
      <c r="R119">
        <v>7.524</v>
      </c>
      <c r="S119">
        <v>5.03</v>
      </c>
      <c r="T119">
        <v>7.45</v>
      </c>
      <c r="U119">
        <v>5.4</v>
      </c>
      <c r="V119">
        <v>97.5</v>
      </c>
      <c r="W119">
        <v>95.9</v>
      </c>
      <c r="X119">
        <v>1.5</v>
      </c>
      <c r="Y119">
        <v>2.5</v>
      </c>
      <c r="Z119">
        <v>0.1</v>
      </c>
      <c r="AB119">
        <v>3.3</v>
      </c>
      <c r="AC119">
        <v>148</v>
      </c>
      <c r="AD119">
        <v>1.1599999999999999</v>
      </c>
      <c r="AE119">
        <v>106</v>
      </c>
      <c r="AF119" t="s">
        <v>1105</v>
      </c>
      <c r="AG119">
        <v>2</v>
      </c>
      <c r="AI119">
        <v>11.8</v>
      </c>
      <c r="AJ119">
        <v>2.4900000000000002</v>
      </c>
      <c r="AK119">
        <v>8.3000000000000007</v>
      </c>
      <c r="AL119">
        <v>31.5</v>
      </c>
      <c r="AM119">
        <v>100.7</v>
      </c>
      <c r="AN119">
        <v>11.6</v>
      </c>
      <c r="AO119">
        <v>14.9</v>
      </c>
      <c r="AP119">
        <v>11.9</v>
      </c>
      <c r="AQ119">
        <v>7.7</v>
      </c>
      <c r="AR119">
        <v>1.24</v>
      </c>
      <c r="AS119">
        <v>31</v>
      </c>
      <c r="AT119">
        <v>65.099999999999994</v>
      </c>
      <c r="AU119">
        <v>72.2</v>
      </c>
      <c r="AV119">
        <v>26.7</v>
      </c>
      <c r="AW119">
        <v>7504</v>
      </c>
      <c r="AX119" t="s">
        <v>1199</v>
      </c>
      <c r="AY119" t="s">
        <v>677</v>
      </c>
      <c r="AZ119">
        <v>309.5</v>
      </c>
      <c r="BA119">
        <v>29.9</v>
      </c>
      <c r="BB119">
        <v>7.7</v>
      </c>
      <c r="BC119">
        <v>8.3000000000000007</v>
      </c>
      <c r="BD119">
        <v>7.6</v>
      </c>
      <c r="BE119">
        <v>8.1999999999999993</v>
      </c>
    </row>
    <row r="120" spans="1:57" x14ac:dyDescent="0.25">
      <c r="A120" t="s">
        <v>666</v>
      </c>
      <c r="B120">
        <v>146</v>
      </c>
      <c r="C120" t="s">
        <v>53</v>
      </c>
      <c r="D120">
        <v>3</v>
      </c>
      <c r="E120" t="s">
        <v>40</v>
      </c>
      <c r="F120" t="s">
        <v>382</v>
      </c>
      <c r="G120">
        <v>1104</v>
      </c>
      <c r="H120">
        <v>0</v>
      </c>
      <c r="I120">
        <v>1</v>
      </c>
      <c r="J120">
        <v>1</v>
      </c>
      <c r="K120" t="s">
        <v>515</v>
      </c>
      <c r="L120" t="s">
        <v>721</v>
      </c>
      <c r="M120" t="s">
        <v>721</v>
      </c>
      <c r="P120" t="s">
        <v>78</v>
      </c>
      <c r="Q120">
        <v>4.7</v>
      </c>
      <c r="R120">
        <v>7.5410000000000004</v>
      </c>
      <c r="S120">
        <v>4.43</v>
      </c>
      <c r="T120">
        <v>45.7</v>
      </c>
      <c r="U120">
        <v>4.7</v>
      </c>
      <c r="V120">
        <v>106.3</v>
      </c>
      <c r="W120">
        <v>102.2</v>
      </c>
      <c r="X120">
        <v>3.2</v>
      </c>
      <c r="Y120">
        <v>-6.1</v>
      </c>
      <c r="Z120">
        <v>0.7</v>
      </c>
      <c r="AB120">
        <v>3.2</v>
      </c>
      <c r="AC120">
        <v>145</v>
      </c>
      <c r="AD120">
        <v>1.27</v>
      </c>
      <c r="AE120">
        <v>103</v>
      </c>
      <c r="AF120" t="s">
        <v>1221</v>
      </c>
      <c r="AG120">
        <v>2.1</v>
      </c>
      <c r="AK120">
        <v>5.9</v>
      </c>
      <c r="AM120">
        <v>100.7</v>
      </c>
      <c r="AN120">
        <v>13.7</v>
      </c>
      <c r="AO120">
        <v>17</v>
      </c>
      <c r="AP120">
        <v>10.199999999999999</v>
      </c>
      <c r="AQ120">
        <v>5.6</v>
      </c>
      <c r="AR120">
        <v>1.37</v>
      </c>
      <c r="AS120">
        <v>28.5</v>
      </c>
      <c r="AU120">
        <v>66</v>
      </c>
      <c r="AV120">
        <v>23.4</v>
      </c>
      <c r="AW120">
        <v>7479</v>
      </c>
      <c r="AX120" t="s">
        <v>1192</v>
      </c>
      <c r="AY120" t="s">
        <v>1222</v>
      </c>
      <c r="AZ120">
        <v>310.39999999999998</v>
      </c>
      <c r="BA120">
        <v>28.8</v>
      </c>
      <c r="BB120">
        <v>5.6</v>
      </c>
      <c r="BC120">
        <v>5.9</v>
      </c>
    </row>
    <row r="121" spans="1:57" x14ac:dyDescent="0.25">
      <c r="A121" t="s">
        <v>767</v>
      </c>
      <c r="B121">
        <v>152</v>
      </c>
      <c r="C121" t="s">
        <v>56</v>
      </c>
      <c r="D121">
        <v>3</v>
      </c>
      <c r="E121" t="s">
        <v>142</v>
      </c>
      <c r="F121" t="s">
        <v>382</v>
      </c>
      <c r="G121">
        <v>996</v>
      </c>
      <c r="H121">
        <v>1</v>
      </c>
      <c r="I121">
        <v>1</v>
      </c>
      <c r="J121">
        <v>0</v>
      </c>
      <c r="K121" t="s">
        <v>526</v>
      </c>
      <c r="L121" t="s">
        <v>721</v>
      </c>
      <c r="M121" t="s">
        <v>721</v>
      </c>
      <c r="P121" t="s">
        <v>79</v>
      </c>
      <c r="Q121">
        <v>5.8</v>
      </c>
      <c r="R121">
        <v>7.6289999999999996</v>
      </c>
      <c r="S121">
        <v>3.91</v>
      </c>
      <c r="T121">
        <v>31</v>
      </c>
      <c r="U121">
        <v>5.8</v>
      </c>
      <c r="V121">
        <v>101.2</v>
      </c>
      <c r="W121">
        <v>100.4</v>
      </c>
      <c r="X121">
        <v>0.8</v>
      </c>
      <c r="Y121">
        <v>-1.2</v>
      </c>
      <c r="Z121">
        <v>0</v>
      </c>
      <c r="AB121">
        <v>4.4000000000000004</v>
      </c>
      <c r="AC121">
        <v>157</v>
      </c>
      <c r="AD121">
        <v>0.93</v>
      </c>
      <c r="AE121">
        <v>108</v>
      </c>
      <c r="AF121" t="s">
        <v>728</v>
      </c>
      <c r="AG121">
        <v>1.4</v>
      </c>
      <c r="AI121">
        <v>13.6</v>
      </c>
      <c r="AJ121">
        <v>2.16</v>
      </c>
      <c r="AK121">
        <v>9.6999999999999993</v>
      </c>
      <c r="AL121">
        <v>33.200000000000003</v>
      </c>
      <c r="AM121">
        <v>100.7</v>
      </c>
      <c r="AN121">
        <v>18.2</v>
      </c>
      <c r="AO121">
        <v>22.6</v>
      </c>
      <c r="AP121">
        <v>12.9</v>
      </c>
      <c r="AQ121">
        <v>9.4</v>
      </c>
      <c r="AR121">
        <v>1.06</v>
      </c>
      <c r="AS121">
        <v>30.8</v>
      </c>
      <c r="AT121">
        <v>63.3</v>
      </c>
      <c r="AU121">
        <v>71</v>
      </c>
      <c r="AV121">
        <v>28.6</v>
      </c>
      <c r="AW121">
        <v>7525</v>
      </c>
      <c r="AX121" t="s">
        <v>1249</v>
      </c>
      <c r="AY121" t="s">
        <v>1250</v>
      </c>
      <c r="AZ121">
        <v>316.5</v>
      </c>
      <c r="BA121">
        <v>23.5</v>
      </c>
      <c r="BB121">
        <v>9.4</v>
      </c>
      <c r="BC121">
        <v>9.6999999999999993</v>
      </c>
      <c r="BD121">
        <v>9.4</v>
      </c>
      <c r="BE121">
        <v>9.6999999999999993</v>
      </c>
    </row>
    <row r="122" spans="1:57" x14ac:dyDescent="0.25">
      <c r="A122" t="s">
        <v>646</v>
      </c>
      <c r="B122">
        <v>155</v>
      </c>
      <c r="C122" t="s">
        <v>80</v>
      </c>
      <c r="D122">
        <v>3</v>
      </c>
      <c r="E122" t="s">
        <v>40</v>
      </c>
      <c r="F122" t="s">
        <v>383</v>
      </c>
      <c r="G122">
        <v>885</v>
      </c>
      <c r="H122">
        <v>0</v>
      </c>
      <c r="I122">
        <v>1</v>
      </c>
      <c r="J122">
        <v>1</v>
      </c>
      <c r="K122" t="s">
        <v>534</v>
      </c>
      <c r="L122" t="s">
        <v>721</v>
      </c>
      <c r="M122" t="s">
        <v>721</v>
      </c>
      <c r="P122" t="s">
        <v>81</v>
      </c>
      <c r="Q122">
        <v>5.0999999999999996</v>
      </c>
      <c r="R122">
        <v>7.5330000000000004</v>
      </c>
      <c r="S122">
        <v>4.4400000000000004</v>
      </c>
      <c r="T122">
        <v>37.6</v>
      </c>
      <c r="U122">
        <v>5.0999999999999996</v>
      </c>
      <c r="V122">
        <v>101.5</v>
      </c>
      <c r="W122">
        <v>100.3</v>
      </c>
      <c r="X122">
        <v>0.9</v>
      </c>
      <c r="Y122">
        <v>-1.5</v>
      </c>
      <c r="Z122">
        <v>0.3</v>
      </c>
      <c r="AB122">
        <v>3.6</v>
      </c>
      <c r="AC122">
        <v>141</v>
      </c>
      <c r="AD122">
        <v>1.31</v>
      </c>
      <c r="AE122">
        <v>99</v>
      </c>
      <c r="AF122" t="s">
        <v>786</v>
      </c>
      <c r="AG122">
        <v>2.2999999999999998</v>
      </c>
      <c r="AI122">
        <v>12.2</v>
      </c>
      <c r="AJ122">
        <v>2.42</v>
      </c>
      <c r="AK122">
        <v>5.4</v>
      </c>
      <c r="AL122">
        <v>29.1</v>
      </c>
      <c r="AM122">
        <v>100.7</v>
      </c>
      <c r="AN122">
        <v>13.7</v>
      </c>
      <c r="AO122">
        <v>17.3</v>
      </c>
      <c r="AP122">
        <v>11.3</v>
      </c>
      <c r="AQ122">
        <v>5.0999999999999996</v>
      </c>
      <c r="AR122">
        <v>1.41</v>
      </c>
      <c r="AS122">
        <v>28</v>
      </c>
      <c r="AT122">
        <v>59</v>
      </c>
      <c r="AU122">
        <v>65.099999999999994</v>
      </c>
      <c r="AV122">
        <v>25.1</v>
      </c>
      <c r="AW122">
        <v>7473</v>
      </c>
      <c r="AX122" t="s">
        <v>1192</v>
      </c>
      <c r="AY122" t="s">
        <v>1193</v>
      </c>
      <c r="AZ122">
        <v>298.39999999999998</v>
      </c>
      <c r="BA122">
        <v>29.3</v>
      </c>
      <c r="BB122">
        <v>5.0999999999999996</v>
      </c>
      <c r="BC122">
        <v>5.4</v>
      </c>
      <c r="BD122">
        <v>5.0999999999999996</v>
      </c>
      <c r="BE122">
        <v>5.4</v>
      </c>
    </row>
    <row r="123" spans="1:57" x14ac:dyDescent="0.25">
      <c r="A123" t="s">
        <v>596</v>
      </c>
      <c r="B123">
        <v>161</v>
      </c>
      <c r="C123" t="s">
        <v>82</v>
      </c>
      <c r="D123">
        <v>3</v>
      </c>
      <c r="E123" t="s">
        <v>54</v>
      </c>
      <c r="F123" t="s">
        <v>382</v>
      </c>
      <c r="G123">
        <v>984</v>
      </c>
      <c r="H123">
        <v>0</v>
      </c>
      <c r="I123">
        <v>0</v>
      </c>
      <c r="J123">
        <v>1</v>
      </c>
      <c r="K123" t="s">
        <v>537</v>
      </c>
      <c r="L123" t="s">
        <v>721</v>
      </c>
      <c r="M123" t="s">
        <v>721</v>
      </c>
      <c r="P123" t="s">
        <v>83</v>
      </c>
      <c r="Q123">
        <v>5.3</v>
      </c>
      <c r="R123">
        <v>7.633</v>
      </c>
      <c r="S123">
        <v>3.48</v>
      </c>
      <c r="T123">
        <v>26.5</v>
      </c>
      <c r="U123">
        <v>5.3</v>
      </c>
      <c r="V123">
        <v>101.2</v>
      </c>
      <c r="W123">
        <v>100.4</v>
      </c>
      <c r="X123">
        <v>0.8</v>
      </c>
      <c r="Y123">
        <v>-1.2</v>
      </c>
      <c r="Z123">
        <v>0</v>
      </c>
      <c r="AB123">
        <v>4.2</v>
      </c>
      <c r="AC123">
        <v>153</v>
      </c>
      <c r="AD123">
        <v>0.97</v>
      </c>
      <c r="AE123">
        <v>109</v>
      </c>
      <c r="AF123" t="s">
        <v>871</v>
      </c>
      <c r="AG123">
        <v>2.7</v>
      </c>
      <c r="AI123">
        <v>12.3</v>
      </c>
      <c r="AJ123">
        <v>2.15</v>
      </c>
      <c r="AK123">
        <v>6.6</v>
      </c>
      <c r="AL123">
        <v>30.4</v>
      </c>
      <c r="AM123">
        <v>100.7</v>
      </c>
      <c r="AN123">
        <v>15.9</v>
      </c>
      <c r="AO123">
        <v>20.100000000000001</v>
      </c>
      <c r="AP123">
        <v>11.7</v>
      </c>
      <c r="AQ123">
        <v>6.5</v>
      </c>
      <c r="AR123">
        <v>1.1000000000000001</v>
      </c>
      <c r="AS123">
        <v>27.6</v>
      </c>
      <c r="AT123">
        <v>57.3</v>
      </c>
      <c r="AU123">
        <v>63.6</v>
      </c>
      <c r="AV123">
        <v>26.1</v>
      </c>
      <c r="AW123">
        <v>7491</v>
      </c>
      <c r="AX123" t="s">
        <v>1188</v>
      </c>
      <c r="AY123" t="s">
        <v>1189</v>
      </c>
      <c r="AZ123">
        <v>332</v>
      </c>
      <c r="BA123">
        <v>23.3</v>
      </c>
      <c r="BB123">
        <v>6.5</v>
      </c>
      <c r="BC123">
        <v>6.6</v>
      </c>
      <c r="BD123">
        <v>6.5</v>
      </c>
      <c r="BE123">
        <v>6.6</v>
      </c>
    </row>
    <row r="124" spans="1:57" x14ac:dyDescent="0.25">
      <c r="A124" t="s">
        <v>755</v>
      </c>
      <c r="B124">
        <v>151</v>
      </c>
      <c r="C124" t="s">
        <v>58</v>
      </c>
      <c r="D124">
        <v>3</v>
      </c>
      <c r="E124" t="s">
        <v>142</v>
      </c>
      <c r="F124" t="s">
        <v>383</v>
      </c>
      <c r="G124">
        <v>1175</v>
      </c>
      <c r="H124">
        <v>1</v>
      </c>
      <c r="I124">
        <v>1</v>
      </c>
      <c r="J124">
        <v>0</v>
      </c>
      <c r="K124" t="s">
        <v>531</v>
      </c>
      <c r="L124" t="s">
        <v>721</v>
      </c>
      <c r="M124" t="s">
        <v>721</v>
      </c>
      <c r="P124" t="s">
        <v>84</v>
      </c>
      <c r="Q124">
        <v>4.0999999999999996</v>
      </c>
      <c r="R124">
        <v>7.5979999999999999</v>
      </c>
      <c r="S124">
        <v>4.0999999999999996</v>
      </c>
      <c r="T124">
        <v>22.4</v>
      </c>
      <c r="U124">
        <v>4.0999999999999996</v>
      </c>
      <c r="V124">
        <v>106.1</v>
      </c>
      <c r="W124">
        <v>101.6</v>
      </c>
      <c r="X124">
        <v>3.5</v>
      </c>
      <c r="Y124">
        <v>-5.8</v>
      </c>
      <c r="Z124">
        <v>0.7</v>
      </c>
      <c r="AB124">
        <v>4.4000000000000004</v>
      </c>
      <c r="AC124">
        <v>154</v>
      </c>
      <c r="AD124">
        <v>1</v>
      </c>
      <c r="AE124">
        <v>107</v>
      </c>
      <c r="AF124" t="s">
        <v>780</v>
      </c>
      <c r="AG124">
        <v>1.6</v>
      </c>
      <c r="AK124">
        <v>8.4</v>
      </c>
      <c r="AM124">
        <v>100.7</v>
      </c>
      <c r="AN124">
        <v>17</v>
      </c>
      <c r="AO124">
        <v>21.4</v>
      </c>
      <c r="AP124">
        <v>8.8000000000000007</v>
      </c>
      <c r="AQ124">
        <v>7.8</v>
      </c>
      <c r="AR124">
        <v>1.1200000000000001</v>
      </c>
      <c r="AS124">
        <v>30</v>
      </c>
      <c r="AU124">
        <v>69.400000000000006</v>
      </c>
      <c r="AV124">
        <v>20.100000000000001</v>
      </c>
      <c r="AW124">
        <v>7507</v>
      </c>
      <c r="AX124" t="s">
        <v>1262</v>
      </c>
      <c r="AY124" t="s">
        <v>1263</v>
      </c>
      <c r="AZ124">
        <v>311.89999999999998</v>
      </c>
      <c r="BA124">
        <v>25.2</v>
      </c>
      <c r="BB124">
        <v>7.8</v>
      </c>
      <c r="BC124">
        <v>8.4</v>
      </c>
    </row>
    <row r="125" spans="1:57" x14ac:dyDescent="0.25">
      <c r="A125" t="s">
        <v>796</v>
      </c>
      <c r="B125">
        <v>159</v>
      </c>
      <c r="C125" t="s">
        <v>62</v>
      </c>
      <c r="D125">
        <v>3</v>
      </c>
      <c r="E125" t="s">
        <v>146</v>
      </c>
      <c r="F125" t="s">
        <v>383</v>
      </c>
      <c r="G125">
        <v>1219</v>
      </c>
      <c r="H125">
        <v>0</v>
      </c>
      <c r="I125">
        <v>1</v>
      </c>
      <c r="J125">
        <v>0</v>
      </c>
      <c r="K125" t="s">
        <v>516</v>
      </c>
      <c r="L125" t="s">
        <v>721</v>
      </c>
      <c r="M125" t="s">
        <v>721</v>
      </c>
      <c r="P125" t="s">
        <v>86</v>
      </c>
      <c r="Q125">
        <v>5</v>
      </c>
      <c r="R125">
        <v>7.5990000000000002</v>
      </c>
      <c r="S125">
        <v>4.58</v>
      </c>
      <c r="T125">
        <v>33.4</v>
      </c>
      <c r="U125">
        <v>5</v>
      </c>
      <c r="V125">
        <v>106.1</v>
      </c>
      <c r="W125">
        <v>102</v>
      </c>
      <c r="X125">
        <v>3.2</v>
      </c>
      <c r="Y125">
        <v>-5.9</v>
      </c>
      <c r="Z125">
        <v>0.7</v>
      </c>
      <c r="AB125">
        <v>4.9000000000000004</v>
      </c>
      <c r="AC125">
        <v>143</v>
      </c>
      <c r="AD125">
        <v>1.34</v>
      </c>
      <c r="AE125">
        <v>100</v>
      </c>
      <c r="AF125" t="s">
        <v>728</v>
      </c>
      <c r="AG125">
        <v>1.9</v>
      </c>
      <c r="AK125">
        <v>12</v>
      </c>
      <c r="AM125">
        <v>100.7</v>
      </c>
      <c r="AN125">
        <v>10.1</v>
      </c>
      <c r="AO125">
        <v>15.1</v>
      </c>
      <c r="AP125">
        <v>10.8</v>
      </c>
      <c r="AQ125">
        <v>11.2</v>
      </c>
      <c r="AR125">
        <v>1.49</v>
      </c>
      <c r="AS125">
        <v>33.6</v>
      </c>
      <c r="AU125">
        <v>77.7</v>
      </c>
      <c r="AV125">
        <v>24.8</v>
      </c>
      <c r="AW125">
        <v>7546</v>
      </c>
      <c r="AX125" t="s">
        <v>1282</v>
      </c>
      <c r="AY125" t="s">
        <v>1283</v>
      </c>
      <c r="AZ125">
        <v>290.10000000000002</v>
      </c>
      <c r="BA125">
        <v>25.2</v>
      </c>
      <c r="BB125">
        <v>11.2</v>
      </c>
      <c r="BC125">
        <v>12</v>
      </c>
    </row>
    <row r="126" spans="1:57" x14ac:dyDescent="0.25">
      <c r="A126" t="s">
        <v>801</v>
      </c>
      <c r="B126">
        <v>157</v>
      </c>
      <c r="C126" t="s">
        <v>64</v>
      </c>
      <c r="D126">
        <v>3</v>
      </c>
      <c r="E126" t="s">
        <v>146</v>
      </c>
      <c r="F126" t="s">
        <v>382</v>
      </c>
      <c r="G126">
        <v>849</v>
      </c>
      <c r="H126">
        <v>0</v>
      </c>
      <c r="I126">
        <v>1</v>
      </c>
      <c r="J126">
        <v>0</v>
      </c>
      <c r="K126" t="s">
        <v>535</v>
      </c>
      <c r="L126" t="s">
        <v>721</v>
      </c>
      <c r="M126" t="s">
        <v>721</v>
      </c>
      <c r="P126" t="s">
        <v>87</v>
      </c>
      <c r="Q126">
        <v>5.7</v>
      </c>
      <c r="R126">
        <v>7.5209999999999999</v>
      </c>
      <c r="S126">
        <v>5.07</v>
      </c>
      <c r="T126">
        <v>34.200000000000003</v>
      </c>
      <c r="U126">
        <v>5.7</v>
      </c>
      <c r="V126">
        <v>101.1</v>
      </c>
      <c r="W126">
        <v>100.4</v>
      </c>
      <c r="X126">
        <v>0.8</v>
      </c>
      <c r="Y126">
        <v>-1.1000000000000001</v>
      </c>
      <c r="Z126">
        <v>-0.1</v>
      </c>
      <c r="AB126">
        <v>4.0999999999999996</v>
      </c>
      <c r="AC126">
        <v>152</v>
      </c>
      <c r="AD126">
        <v>1.23</v>
      </c>
      <c r="AE126">
        <v>108</v>
      </c>
      <c r="AF126" t="s">
        <v>721</v>
      </c>
      <c r="AG126">
        <v>1.9</v>
      </c>
      <c r="AI126">
        <v>13.4</v>
      </c>
      <c r="AJ126">
        <v>2.42</v>
      </c>
      <c r="AK126">
        <v>8.3000000000000007</v>
      </c>
      <c r="AL126">
        <v>31.5</v>
      </c>
      <c r="AM126">
        <v>100.7</v>
      </c>
      <c r="AN126">
        <v>12.6</v>
      </c>
      <c r="AO126">
        <v>16.7</v>
      </c>
      <c r="AP126">
        <v>12.6</v>
      </c>
      <c r="AQ126">
        <v>7.7</v>
      </c>
      <c r="AR126">
        <v>1.32</v>
      </c>
      <c r="AS126">
        <v>31.1</v>
      </c>
      <c r="AT126">
        <v>64.8</v>
      </c>
      <c r="AU126">
        <v>72.3</v>
      </c>
      <c r="AV126">
        <v>28</v>
      </c>
      <c r="AW126">
        <v>7504</v>
      </c>
      <c r="AX126" t="s">
        <v>943</v>
      </c>
      <c r="AY126" t="s">
        <v>1281</v>
      </c>
      <c r="AZ126">
        <v>306</v>
      </c>
      <c r="BA126">
        <v>30.1</v>
      </c>
      <c r="BB126">
        <v>7.7</v>
      </c>
      <c r="BC126">
        <v>8.3000000000000007</v>
      </c>
      <c r="BD126">
        <v>7.7</v>
      </c>
      <c r="BE126">
        <v>8.3000000000000007</v>
      </c>
    </row>
    <row r="127" spans="1:57" x14ac:dyDescent="0.25">
      <c r="A127" t="s">
        <v>699</v>
      </c>
      <c r="C127" t="s">
        <v>66</v>
      </c>
      <c r="D127">
        <v>3</v>
      </c>
      <c r="E127" t="s">
        <v>71</v>
      </c>
      <c r="F127" t="s">
        <v>383</v>
      </c>
      <c r="G127">
        <v>1279</v>
      </c>
      <c r="H127">
        <v>0</v>
      </c>
      <c r="I127">
        <v>0</v>
      </c>
      <c r="J127">
        <v>0</v>
      </c>
      <c r="K127" t="s">
        <v>523</v>
      </c>
      <c r="L127" t="s">
        <v>721</v>
      </c>
      <c r="M127" t="s">
        <v>721</v>
      </c>
      <c r="P127" t="s">
        <v>88</v>
      </c>
      <c r="Q127">
        <v>4.2</v>
      </c>
      <c r="R127">
        <v>7.5090000000000003</v>
      </c>
      <c r="S127">
        <v>5.23</v>
      </c>
      <c r="T127">
        <v>12.2</v>
      </c>
      <c r="U127">
        <v>4.2</v>
      </c>
      <c r="V127">
        <v>104.9</v>
      </c>
      <c r="W127">
        <v>100.9</v>
      </c>
      <c r="X127">
        <v>3.3</v>
      </c>
      <c r="Y127">
        <v>-4.7</v>
      </c>
      <c r="Z127">
        <v>0.5</v>
      </c>
      <c r="AB127">
        <v>4.7</v>
      </c>
      <c r="AC127">
        <v>141</v>
      </c>
      <c r="AD127">
        <v>1.45</v>
      </c>
      <c r="AE127">
        <v>101</v>
      </c>
      <c r="AF127" t="s">
        <v>1027</v>
      </c>
      <c r="AG127">
        <v>1.4</v>
      </c>
      <c r="AK127">
        <v>8.1999999999999993</v>
      </c>
      <c r="AM127">
        <v>100.7</v>
      </c>
      <c r="AN127">
        <v>8.9</v>
      </c>
      <c r="AO127">
        <v>13.6</v>
      </c>
      <c r="AP127">
        <v>9</v>
      </c>
      <c r="AQ127">
        <v>7.5</v>
      </c>
      <c r="AR127">
        <v>1.54</v>
      </c>
      <c r="AS127">
        <v>31.2</v>
      </c>
      <c r="AU127">
        <v>72.599999999999994</v>
      </c>
      <c r="AV127">
        <v>20.7</v>
      </c>
      <c r="AW127">
        <v>7502</v>
      </c>
      <c r="AX127" t="s">
        <v>1224</v>
      </c>
      <c r="AY127" t="s">
        <v>1225</v>
      </c>
      <c r="AZ127">
        <v>284.39999999999998</v>
      </c>
      <c r="BA127">
        <v>31</v>
      </c>
      <c r="BB127">
        <v>7.5</v>
      </c>
      <c r="BC127">
        <v>8.1999999999999993</v>
      </c>
    </row>
    <row r="128" spans="1:57" x14ac:dyDescent="0.25">
      <c r="A128" t="s">
        <v>613</v>
      </c>
      <c r="B128">
        <v>165</v>
      </c>
      <c r="C128" t="s">
        <v>385</v>
      </c>
      <c r="D128">
        <v>3</v>
      </c>
      <c r="E128" t="s">
        <v>54</v>
      </c>
      <c r="F128" t="s">
        <v>383</v>
      </c>
      <c r="G128">
        <v>676</v>
      </c>
      <c r="H128">
        <v>0</v>
      </c>
      <c r="I128">
        <v>0</v>
      </c>
      <c r="J128">
        <v>1</v>
      </c>
      <c r="K128" t="s">
        <v>527</v>
      </c>
      <c r="L128" t="s">
        <v>721</v>
      </c>
      <c r="M128" t="s">
        <v>721</v>
      </c>
      <c r="P128" t="s">
        <v>301</v>
      </c>
      <c r="Q128">
        <v>3.5</v>
      </c>
      <c r="R128">
        <v>7.5149999999999997</v>
      </c>
      <c r="S128">
        <v>5.01</v>
      </c>
      <c r="T128">
        <v>31.9</v>
      </c>
      <c r="U128">
        <v>3.5</v>
      </c>
      <c r="V128">
        <v>106</v>
      </c>
      <c r="W128">
        <v>101.7</v>
      </c>
      <c r="X128">
        <v>3.2</v>
      </c>
      <c r="Y128">
        <v>-5.8</v>
      </c>
      <c r="Z128">
        <v>0.9</v>
      </c>
      <c r="AB128">
        <v>3.7</v>
      </c>
      <c r="AC128">
        <v>144</v>
      </c>
      <c r="AD128">
        <v>1.26</v>
      </c>
      <c r="AE128">
        <v>101</v>
      </c>
      <c r="AF128" t="s">
        <v>1173</v>
      </c>
      <c r="AG128">
        <v>2.2999999999999998</v>
      </c>
      <c r="AK128">
        <v>7.4</v>
      </c>
      <c r="AM128">
        <v>100.7</v>
      </c>
      <c r="AN128">
        <v>12.9</v>
      </c>
      <c r="AO128">
        <v>16.600000000000001</v>
      </c>
      <c r="AP128">
        <v>7.5</v>
      </c>
      <c r="AQ128">
        <v>6.7</v>
      </c>
      <c r="AR128">
        <v>1.34</v>
      </c>
      <c r="AS128">
        <v>30.3</v>
      </c>
      <c r="AU128">
        <v>70.5</v>
      </c>
      <c r="AV128">
        <v>17.3</v>
      </c>
      <c r="AW128">
        <v>7493</v>
      </c>
      <c r="AX128" t="s">
        <v>1174</v>
      </c>
      <c r="AY128" t="s">
        <v>1175</v>
      </c>
      <c r="AZ128">
        <v>308.89999999999998</v>
      </c>
      <c r="BA128">
        <v>30.6</v>
      </c>
      <c r="BB128">
        <v>6.7</v>
      </c>
      <c r="BC128">
        <v>7.4</v>
      </c>
    </row>
    <row r="129" spans="1:57" x14ac:dyDescent="0.25">
      <c r="A129" t="s">
        <v>720</v>
      </c>
      <c r="B129">
        <v>160</v>
      </c>
      <c r="C129" t="s">
        <v>68</v>
      </c>
      <c r="D129">
        <v>3</v>
      </c>
      <c r="E129" t="s">
        <v>71</v>
      </c>
      <c r="F129" t="s">
        <v>383</v>
      </c>
      <c r="G129">
        <v>637</v>
      </c>
      <c r="H129">
        <v>0</v>
      </c>
      <c r="I129">
        <v>0</v>
      </c>
      <c r="J129">
        <v>0</v>
      </c>
      <c r="K129" t="s">
        <v>538</v>
      </c>
      <c r="L129" t="s">
        <v>721</v>
      </c>
      <c r="M129" t="s">
        <v>721</v>
      </c>
      <c r="P129" t="s">
        <v>89</v>
      </c>
      <c r="Q129">
        <v>5.0999999999999996</v>
      </c>
      <c r="R129">
        <v>7.4989999999999997</v>
      </c>
      <c r="S129">
        <v>4.9800000000000004</v>
      </c>
      <c r="T129">
        <v>25.2</v>
      </c>
      <c r="U129">
        <v>5.0999999999999996</v>
      </c>
      <c r="V129">
        <v>101.3</v>
      </c>
      <c r="W129">
        <v>100.2</v>
      </c>
      <c r="X129">
        <v>0.9</v>
      </c>
      <c r="Y129">
        <v>-1.3</v>
      </c>
      <c r="Z129">
        <v>0.2</v>
      </c>
      <c r="AB129">
        <v>4.0999999999999996</v>
      </c>
      <c r="AC129">
        <v>172</v>
      </c>
      <c r="AD129">
        <v>0.55000000000000004</v>
      </c>
      <c r="AE129">
        <v>118</v>
      </c>
      <c r="AF129" t="s">
        <v>950</v>
      </c>
      <c r="AG129">
        <v>1.5</v>
      </c>
      <c r="AI129">
        <v>12</v>
      </c>
      <c r="AJ129">
        <v>2.54</v>
      </c>
      <c r="AK129">
        <v>5.8</v>
      </c>
      <c r="AL129">
        <v>29.4</v>
      </c>
      <c r="AM129">
        <v>100.7</v>
      </c>
      <c r="AN129">
        <v>25</v>
      </c>
      <c r="AO129">
        <v>29.1</v>
      </c>
      <c r="AP129">
        <v>11.4</v>
      </c>
      <c r="AQ129">
        <v>5.5</v>
      </c>
      <c r="AR129">
        <v>0.57999999999999996</v>
      </c>
      <c r="AS129">
        <v>29</v>
      </c>
      <c r="AT129">
        <v>61.4</v>
      </c>
      <c r="AU129">
        <v>67.599999999999994</v>
      </c>
      <c r="AV129">
        <v>25.4</v>
      </c>
      <c r="AW129">
        <v>7477</v>
      </c>
      <c r="AX129" t="s">
        <v>1233</v>
      </c>
      <c r="AY129" t="s">
        <v>1234</v>
      </c>
      <c r="AZ129">
        <v>347.2</v>
      </c>
      <c r="BA129">
        <v>31.7</v>
      </c>
      <c r="BB129">
        <v>5.5</v>
      </c>
      <c r="BC129">
        <v>5.8</v>
      </c>
      <c r="BD129">
        <v>5.5</v>
      </c>
      <c r="BE129">
        <v>5.8</v>
      </c>
    </row>
    <row r="130" spans="1:57" x14ac:dyDescent="0.25">
      <c r="A130" t="s">
        <v>855</v>
      </c>
      <c r="B130">
        <v>144</v>
      </c>
      <c r="C130" t="s">
        <v>386</v>
      </c>
      <c r="D130">
        <v>3</v>
      </c>
      <c r="E130" t="s">
        <v>146</v>
      </c>
      <c r="F130" t="s">
        <v>383</v>
      </c>
      <c r="G130">
        <v>1017</v>
      </c>
      <c r="H130">
        <v>0</v>
      </c>
      <c r="I130">
        <v>1</v>
      </c>
      <c r="J130">
        <v>0</v>
      </c>
      <c r="K130" t="s">
        <v>525</v>
      </c>
      <c r="L130" t="s">
        <v>721</v>
      </c>
      <c r="M130" t="s">
        <v>721</v>
      </c>
      <c r="P130" t="s">
        <v>305</v>
      </c>
      <c r="Q130">
        <v>5.0999999999999996</v>
      </c>
      <c r="R130">
        <v>7.5119999999999996</v>
      </c>
      <c r="S130">
        <v>5.55</v>
      </c>
      <c r="T130">
        <v>33.6</v>
      </c>
      <c r="U130">
        <v>5.0999999999999996</v>
      </c>
      <c r="V130">
        <v>101.7</v>
      </c>
      <c r="W130">
        <v>100.4</v>
      </c>
      <c r="X130">
        <v>1.1000000000000001</v>
      </c>
      <c r="Y130">
        <v>-1.7</v>
      </c>
      <c r="Z130">
        <v>0.2</v>
      </c>
      <c r="AB130">
        <v>4.2</v>
      </c>
      <c r="AC130">
        <v>153</v>
      </c>
      <c r="AD130">
        <v>1.01</v>
      </c>
      <c r="AE130">
        <v>103</v>
      </c>
      <c r="AF130" t="s">
        <v>999</v>
      </c>
      <c r="AG130">
        <v>1.4</v>
      </c>
      <c r="AI130">
        <v>12</v>
      </c>
      <c r="AJ130">
        <v>2.56</v>
      </c>
      <c r="AK130">
        <v>10.4</v>
      </c>
      <c r="AL130">
        <v>33.299999999999997</v>
      </c>
      <c r="AM130">
        <v>100.7</v>
      </c>
      <c r="AN130">
        <v>16.8</v>
      </c>
      <c r="AO130">
        <v>21</v>
      </c>
      <c r="AP130">
        <v>11.3</v>
      </c>
      <c r="AQ130">
        <v>9.5</v>
      </c>
      <c r="AR130">
        <v>1.08</v>
      </c>
      <c r="AS130">
        <v>33.4</v>
      </c>
      <c r="AT130">
        <v>70.5</v>
      </c>
      <c r="AU130">
        <v>77.7</v>
      </c>
      <c r="AV130">
        <v>25.1</v>
      </c>
      <c r="AW130">
        <v>7526</v>
      </c>
      <c r="AX130" t="s">
        <v>1296</v>
      </c>
      <c r="AY130" t="s">
        <v>1297</v>
      </c>
      <c r="AZ130">
        <v>310.5</v>
      </c>
      <c r="BA130">
        <v>30.7</v>
      </c>
      <c r="BB130">
        <v>9.5</v>
      </c>
      <c r="BC130">
        <v>10.4</v>
      </c>
      <c r="BD130">
        <v>9.5</v>
      </c>
      <c r="BE130">
        <v>10.4</v>
      </c>
    </row>
    <row r="131" spans="1:57" x14ac:dyDescent="0.25">
      <c r="A131" t="s">
        <v>813</v>
      </c>
      <c r="B131">
        <v>142</v>
      </c>
      <c r="C131" t="s">
        <v>388</v>
      </c>
      <c r="D131">
        <v>3</v>
      </c>
      <c r="E131" t="s">
        <v>146</v>
      </c>
      <c r="F131" t="s">
        <v>382</v>
      </c>
      <c r="G131">
        <v>909</v>
      </c>
      <c r="H131">
        <v>0</v>
      </c>
      <c r="I131">
        <v>1</v>
      </c>
      <c r="J131">
        <v>0</v>
      </c>
      <c r="K131" t="s">
        <v>540</v>
      </c>
      <c r="L131" t="s">
        <v>721</v>
      </c>
      <c r="M131" t="s">
        <v>721</v>
      </c>
      <c r="P131" t="s">
        <v>307</v>
      </c>
      <c r="Q131">
        <v>5.7</v>
      </c>
      <c r="R131">
        <v>7.4560000000000004</v>
      </c>
      <c r="S131">
        <v>6.17</v>
      </c>
      <c r="T131">
        <v>18.399999999999999</v>
      </c>
      <c r="U131">
        <v>5.7</v>
      </c>
      <c r="V131">
        <v>100.6</v>
      </c>
      <c r="W131">
        <v>99.9</v>
      </c>
      <c r="X131">
        <v>0.7</v>
      </c>
      <c r="Y131">
        <v>-0.6</v>
      </c>
      <c r="Z131">
        <v>0</v>
      </c>
      <c r="AB131">
        <v>5</v>
      </c>
      <c r="AC131">
        <v>146</v>
      </c>
      <c r="AD131">
        <v>1.1499999999999999</v>
      </c>
      <c r="AE131">
        <v>102</v>
      </c>
      <c r="AF131" t="s">
        <v>940</v>
      </c>
      <c r="AG131">
        <v>1.6</v>
      </c>
      <c r="AI131">
        <v>13.2</v>
      </c>
      <c r="AJ131">
        <v>2.66</v>
      </c>
      <c r="AK131">
        <v>8.6999999999999993</v>
      </c>
      <c r="AL131">
        <v>31.6</v>
      </c>
      <c r="AM131">
        <v>100.7</v>
      </c>
      <c r="AN131">
        <v>11</v>
      </c>
      <c r="AO131">
        <v>16</v>
      </c>
      <c r="AP131">
        <v>12.7</v>
      </c>
      <c r="AQ131">
        <v>7.8</v>
      </c>
      <c r="AR131">
        <v>1.19</v>
      </c>
      <c r="AS131">
        <v>32.6</v>
      </c>
      <c r="AT131">
        <v>68.400000000000006</v>
      </c>
      <c r="AU131">
        <v>76.2</v>
      </c>
      <c r="AV131">
        <v>28.3</v>
      </c>
      <c r="AW131">
        <v>7505</v>
      </c>
      <c r="AX131" t="s">
        <v>1277</v>
      </c>
      <c r="AY131" t="s">
        <v>1278</v>
      </c>
      <c r="AZ131">
        <v>295.39999999999998</v>
      </c>
      <c r="BA131">
        <v>35</v>
      </c>
      <c r="BB131">
        <v>7.8</v>
      </c>
      <c r="BC131">
        <v>8.6999999999999993</v>
      </c>
      <c r="BD131">
        <v>7.8</v>
      </c>
      <c r="BE131">
        <v>8.6999999999999993</v>
      </c>
    </row>
    <row r="132" spans="1:57" x14ac:dyDescent="0.25">
      <c r="A132" t="s">
        <v>861</v>
      </c>
      <c r="B132">
        <v>158</v>
      </c>
      <c r="C132" t="s">
        <v>389</v>
      </c>
      <c r="D132">
        <v>3</v>
      </c>
      <c r="E132" t="s">
        <v>146</v>
      </c>
      <c r="F132" t="s">
        <v>382</v>
      </c>
      <c r="G132">
        <v>795</v>
      </c>
      <c r="H132">
        <v>0</v>
      </c>
      <c r="I132">
        <v>1</v>
      </c>
      <c r="J132">
        <v>0</v>
      </c>
      <c r="K132" t="s">
        <v>521</v>
      </c>
      <c r="L132" t="s">
        <v>721</v>
      </c>
      <c r="M132" t="s">
        <v>721</v>
      </c>
      <c r="P132" t="s">
        <v>309</v>
      </c>
      <c r="Q132">
        <v>5.4</v>
      </c>
      <c r="R132">
        <v>7.5609999999999999</v>
      </c>
      <c r="S132">
        <v>4.8600000000000003</v>
      </c>
      <c r="T132">
        <v>47.7</v>
      </c>
      <c r="U132">
        <v>5.4</v>
      </c>
      <c r="V132">
        <v>101.3</v>
      </c>
      <c r="W132">
        <v>100.4</v>
      </c>
      <c r="X132">
        <v>0.6</v>
      </c>
      <c r="Y132">
        <v>-1.3</v>
      </c>
      <c r="Z132">
        <v>0.3</v>
      </c>
      <c r="AB132">
        <v>4.2</v>
      </c>
      <c r="AC132">
        <v>150</v>
      </c>
      <c r="AD132">
        <v>1.2</v>
      </c>
      <c r="AE132">
        <v>104</v>
      </c>
      <c r="AF132" t="s">
        <v>721</v>
      </c>
      <c r="AG132">
        <v>1.4</v>
      </c>
      <c r="AI132">
        <v>13.1</v>
      </c>
      <c r="AJ132">
        <v>2.36</v>
      </c>
      <c r="AK132">
        <v>10.5</v>
      </c>
      <c r="AL132">
        <v>33.6</v>
      </c>
      <c r="AM132">
        <v>100.7</v>
      </c>
      <c r="AN132">
        <v>13</v>
      </c>
      <c r="AO132">
        <v>17.3</v>
      </c>
      <c r="AP132">
        <v>12</v>
      </c>
      <c r="AQ132">
        <v>9.8000000000000007</v>
      </c>
      <c r="AR132">
        <v>1.32</v>
      </c>
      <c r="AS132">
        <v>32.700000000000003</v>
      </c>
      <c r="AT132">
        <v>68.3</v>
      </c>
      <c r="AU132">
        <v>75.8</v>
      </c>
      <c r="AV132">
        <v>26.7</v>
      </c>
      <c r="AW132">
        <v>7530</v>
      </c>
      <c r="AX132" t="s">
        <v>1284</v>
      </c>
      <c r="AY132" t="s">
        <v>1291</v>
      </c>
      <c r="AZ132">
        <v>303.2</v>
      </c>
      <c r="BA132">
        <v>27.5</v>
      </c>
      <c r="BB132">
        <v>9.8000000000000007</v>
      </c>
      <c r="BC132">
        <v>10.5</v>
      </c>
      <c r="BD132">
        <v>9.8000000000000007</v>
      </c>
      <c r="BE132">
        <v>10.5</v>
      </c>
    </row>
    <row r="133" spans="1:57" x14ac:dyDescent="0.25">
      <c r="A133" t="s">
        <v>703</v>
      </c>
      <c r="B133">
        <v>162</v>
      </c>
      <c r="C133" t="s">
        <v>390</v>
      </c>
      <c r="D133">
        <v>3</v>
      </c>
      <c r="E133" t="s">
        <v>71</v>
      </c>
      <c r="F133" t="s">
        <v>382</v>
      </c>
      <c r="G133">
        <v>828</v>
      </c>
      <c r="H133">
        <v>0</v>
      </c>
      <c r="I133">
        <v>0</v>
      </c>
      <c r="J133">
        <v>0</v>
      </c>
      <c r="K133" t="s">
        <v>533</v>
      </c>
      <c r="L133" t="s">
        <v>721</v>
      </c>
      <c r="M133" t="s">
        <v>721</v>
      </c>
      <c r="P133" t="s">
        <v>311</v>
      </c>
      <c r="Q133">
        <v>4.4000000000000004</v>
      </c>
      <c r="R133">
        <v>7.5209999999999999</v>
      </c>
      <c r="S133">
        <v>4.01</v>
      </c>
      <c r="T133">
        <v>6.96</v>
      </c>
      <c r="U133">
        <v>4.4000000000000004</v>
      </c>
      <c r="V133">
        <v>101.2</v>
      </c>
      <c r="W133">
        <v>96.7</v>
      </c>
      <c r="X133">
        <v>3.6</v>
      </c>
      <c r="Y133">
        <v>-1.1000000000000001</v>
      </c>
      <c r="Z133">
        <v>0.8</v>
      </c>
      <c r="AB133">
        <v>4.9000000000000004</v>
      </c>
      <c r="AC133">
        <v>140</v>
      </c>
      <c r="AD133">
        <v>1.06</v>
      </c>
      <c r="AE133">
        <v>97</v>
      </c>
      <c r="AF133" t="s">
        <v>985</v>
      </c>
      <c r="AG133">
        <v>6</v>
      </c>
      <c r="AI133">
        <v>9.6</v>
      </c>
      <c r="AJ133">
        <v>2.96</v>
      </c>
      <c r="AK133">
        <v>1.8</v>
      </c>
      <c r="AL133">
        <v>26</v>
      </c>
      <c r="AM133">
        <v>100.7</v>
      </c>
      <c r="AN133">
        <v>18.3</v>
      </c>
      <c r="AO133">
        <v>23.2</v>
      </c>
      <c r="AP133">
        <v>9.4</v>
      </c>
      <c r="AQ133">
        <v>1.8</v>
      </c>
      <c r="AR133">
        <v>1.1299999999999999</v>
      </c>
      <c r="AS133">
        <v>24.6</v>
      </c>
      <c r="AT133">
        <v>52.6</v>
      </c>
      <c r="AU133">
        <v>57.2</v>
      </c>
      <c r="AV133">
        <v>21.8</v>
      </c>
      <c r="AW133">
        <v>7428</v>
      </c>
      <c r="AX133" t="s">
        <v>1235</v>
      </c>
      <c r="AY133" t="s">
        <v>988</v>
      </c>
      <c r="AZ133">
        <v>290.89999999999998</v>
      </c>
      <c r="BA133">
        <v>30.1</v>
      </c>
      <c r="BB133">
        <v>1.8</v>
      </c>
      <c r="BC133">
        <v>1.8</v>
      </c>
      <c r="BD133">
        <v>1.8</v>
      </c>
      <c r="BE133">
        <v>1.8</v>
      </c>
    </row>
    <row r="134" spans="1:57" x14ac:dyDescent="0.25">
      <c r="A134" t="s">
        <v>858</v>
      </c>
      <c r="B134">
        <v>156</v>
      </c>
      <c r="C134" t="s">
        <v>384</v>
      </c>
      <c r="D134">
        <v>3</v>
      </c>
      <c r="E134" t="s">
        <v>146</v>
      </c>
      <c r="F134" t="s">
        <v>382</v>
      </c>
      <c r="G134">
        <v>702</v>
      </c>
      <c r="H134">
        <v>0</v>
      </c>
      <c r="I134">
        <v>1</v>
      </c>
      <c r="J134">
        <v>0</v>
      </c>
      <c r="K134" t="s">
        <v>530</v>
      </c>
      <c r="L134" t="s">
        <v>721</v>
      </c>
      <c r="M134" t="s">
        <v>721</v>
      </c>
      <c r="P134" t="s">
        <v>313</v>
      </c>
      <c r="Q134">
        <v>6.3</v>
      </c>
      <c r="R134">
        <v>7.5129999999999999</v>
      </c>
      <c r="S134">
        <v>4.87</v>
      </c>
      <c r="T134">
        <v>38.799999999999997</v>
      </c>
      <c r="U134">
        <v>6.3</v>
      </c>
      <c r="V134">
        <v>100.9</v>
      </c>
      <c r="W134">
        <v>100.4</v>
      </c>
      <c r="X134">
        <v>0.6</v>
      </c>
      <c r="Y134">
        <v>-0.9</v>
      </c>
      <c r="Z134">
        <v>-0.1</v>
      </c>
      <c r="AB134">
        <v>4.4000000000000004</v>
      </c>
      <c r="AC134">
        <v>160</v>
      </c>
      <c r="AD134">
        <v>0.57999999999999996</v>
      </c>
      <c r="AE134">
        <v>118</v>
      </c>
      <c r="AF134" t="s">
        <v>1027</v>
      </c>
      <c r="AG134">
        <v>2.7</v>
      </c>
      <c r="AI134">
        <v>14.9</v>
      </c>
      <c r="AJ134">
        <v>2.4300000000000002</v>
      </c>
      <c r="AK134">
        <v>6.4</v>
      </c>
      <c r="AL134">
        <v>29.9</v>
      </c>
      <c r="AM134">
        <v>100.7</v>
      </c>
      <c r="AN134">
        <v>11.7</v>
      </c>
      <c r="AO134">
        <v>16.100000000000001</v>
      </c>
      <c r="AP134">
        <v>14</v>
      </c>
      <c r="AQ134">
        <v>6</v>
      </c>
      <c r="AR134">
        <v>0.62</v>
      </c>
      <c r="AS134">
        <v>29.3</v>
      </c>
      <c r="AT134">
        <v>60.5</v>
      </c>
      <c r="AU134">
        <v>68.2</v>
      </c>
      <c r="AV134">
        <v>31</v>
      </c>
      <c r="AW134">
        <v>7484</v>
      </c>
      <c r="AX134" t="s">
        <v>1284</v>
      </c>
      <c r="AY134" t="s">
        <v>1285</v>
      </c>
      <c r="AZ134">
        <v>321.60000000000002</v>
      </c>
      <c r="BA134">
        <v>30.7</v>
      </c>
      <c r="BB134">
        <v>6</v>
      </c>
      <c r="BC134">
        <v>6.4</v>
      </c>
      <c r="BD134">
        <v>6</v>
      </c>
      <c r="BE134">
        <v>6.4</v>
      </c>
    </row>
    <row r="135" spans="1:57" x14ac:dyDescent="0.25">
      <c r="A135" t="s">
        <v>605</v>
      </c>
      <c r="B135">
        <v>163</v>
      </c>
      <c r="C135" t="s">
        <v>202</v>
      </c>
      <c r="D135">
        <v>3</v>
      </c>
      <c r="E135" t="s">
        <v>54</v>
      </c>
      <c r="F135" t="s">
        <v>382</v>
      </c>
      <c r="G135">
        <v>908</v>
      </c>
      <c r="H135">
        <v>0</v>
      </c>
      <c r="I135">
        <v>0</v>
      </c>
      <c r="J135">
        <v>1</v>
      </c>
      <c r="K135" t="s">
        <v>532</v>
      </c>
      <c r="L135" t="s">
        <v>721</v>
      </c>
      <c r="M135" t="s">
        <v>721</v>
      </c>
      <c r="P135" t="s">
        <v>283</v>
      </c>
      <c r="Q135">
        <v>5.0999999999999996</v>
      </c>
      <c r="R135">
        <v>7.5110000000000001</v>
      </c>
      <c r="S135">
        <v>5.05</v>
      </c>
      <c r="T135">
        <v>6.77</v>
      </c>
      <c r="U135">
        <v>5.0999999999999996</v>
      </c>
      <c r="V135">
        <v>96.2</v>
      </c>
      <c r="W135">
        <v>94.7</v>
      </c>
      <c r="X135">
        <v>1.4</v>
      </c>
      <c r="Y135">
        <v>3.7</v>
      </c>
      <c r="Z135">
        <v>0.2</v>
      </c>
      <c r="AB135">
        <v>4</v>
      </c>
      <c r="AC135">
        <v>141</v>
      </c>
      <c r="AD135">
        <v>1.33</v>
      </c>
      <c r="AE135">
        <v>100</v>
      </c>
      <c r="AF135" t="s">
        <v>1180</v>
      </c>
      <c r="AG135">
        <v>1.8</v>
      </c>
      <c r="AI135">
        <v>11.1</v>
      </c>
      <c r="AJ135">
        <v>1.85</v>
      </c>
      <c r="AK135">
        <v>7.2</v>
      </c>
      <c r="AL135">
        <v>30.5</v>
      </c>
      <c r="AM135">
        <v>100.7</v>
      </c>
      <c r="AN135">
        <v>10.8</v>
      </c>
      <c r="AO135">
        <v>14.9</v>
      </c>
      <c r="AP135">
        <v>11.4</v>
      </c>
      <c r="AQ135">
        <v>6.7</v>
      </c>
      <c r="AR135">
        <v>1.42</v>
      </c>
      <c r="AS135">
        <v>30.2</v>
      </c>
      <c r="AT135">
        <v>63.8</v>
      </c>
      <c r="AU135">
        <v>70.3</v>
      </c>
      <c r="AV135">
        <v>25.4</v>
      </c>
      <c r="AW135">
        <v>7492</v>
      </c>
      <c r="AX135" t="s">
        <v>1181</v>
      </c>
      <c r="AY135" t="s">
        <v>1182</v>
      </c>
      <c r="AZ135">
        <v>300.3</v>
      </c>
      <c r="BA135">
        <v>30.9</v>
      </c>
      <c r="BB135">
        <v>6.7</v>
      </c>
      <c r="BC135">
        <v>7.2</v>
      </c>
      <c r="BD135">
        <v>6.7</v>
      </c>
      <c r="BE135">
        <v>7.2</v>
      </c>
    </row>
    <row r="136" spans="1:57" x14ac:dyDescent="0.25">
      <c r="A136" t="s">
        <v>978</v>
      </c>
      <c r="B136">
        <v>154</v>
      </c>
      <c r="C136" t="s">
        <v>175</v>
      </c>
      <c r="D136">
        <v>3</v>
      </c>
      <c r="E136" t="s">
        <v>142</v>
      </c>
      <c r="F136" t="s">
        <v>382</v>
      </c>
      <c r="G136">
        <v>826</v>
      </c>
      <c r="H136">
        <v>1</v>
      </c>
      <c r="I136">
        <v>1</v>
      </c>
      <c r="J136">
        <v>0</v>
      </c>
      <c r="K136" t="s">
        <v>522</v>
      </c>
      <c r="L136" t="s">
        <v>721</v>
      </c>
      <c r="M136" t="s">
        <v>721</v>
      </c>
      <c r="P136" t="s">
        <v>298</v>
      </c>
      <c r="Q136">
        <v>5.9</v>
      </c>
      <c r="R136">
        <v>7.5179999999999998</v>
      </c>
      <c r="S136">
        <v>5.56</v>
      </c>
      <c r="T136">
        <v>47.1</v>
      </c>
      <c r="U136">
        <v>5.9</v>
      </c>
      <c r="V136">
        <v>101.3</v>
      </c>
      <c r="W136">
        <v>100.5</v>
      </c>
      <c r="X136">
        <v>0.7</v>
      </c>
      <c r="Y136">
        <v>-1.3</v>
      </c>
      <c r="Z136">
        <v>0.1</v>
      </c>
      <c r="AB136">
        <v>4.4000000000000004</v>
      </c>
      <c r="AC136">
        <v>153</v>
      </c>
      <c r="AD136">
        <v>1.05</v>
      </c>
      <c r="AE136">
        <v>105</v>
      </c>
      <c r="AF136" t="s">
        <v>966</v>
      </c>
      <c r="AG136">
        <v>1.5</v>
      </c>
      <c r="AI136">
        <v>14.1</v>
      </c>
      <c r="AJ136">
        <v>2.48</v>
      </c>
      <c r="AK136">
        <v>11</v>
      </c>
      <c r="AL136">
        <v>33.799999999999997</v>
      </c>
      <c r="AM136">
        <v>100.7</v>
      </c>
      <c r="AN136">
        <v>13.6</v>
      </c>
      <c r="AO136">
        <v>18.100000000000001</v>
      </c>
      <c r="AP136">
        <v>13</v>
      </c>
      <c r="AQ136">
        <v>10.1</v>
      </c>
      <c r="AR136">
        <v>1.1200000000000001</v>
      </c>
      <c r="AS136">
        <v>33.9</v>
      </c>
      <c r="AT136">
        <v>70.400000000000006</v>
      </c>
      <c r="AU136">
        <v>78.8</v>
      </c>
      <c r="AV136">
        <v>28.9</v>
      </c>
      <c r="AW136">
        <v>7532</v>
      </c>
      <c r="AX136" t="s">
        <v>1244</v>
      </c>
      <c r="AY136" t="s">
        <v>1245</v>
      </c>
      <c r="AZ136">
        <v>308.10000000000002</v>
      </c>
      <c r="BA136">
        <v>30.3</v>
      </c>
      <c r="BB136">
        <v>10.1</v>
      </c>
      <c r="BC136">
        <v>11</v>
      </c>
      <c r="BD136">
        <v>10.1</v>
      </c>
      <c r="BE136">
        <v>11</v>
      </c>
    </row>
    <row r="137" spans="1:57" x14ac:dyDescent="0.25">
      <c r="A137" t="s">
        <v>763</v>
      </c>
      <c r="C137" t="s">
        <v>145</v>
      </c>
      <c r="D137">
        <v>3</v>
      </c>
      <c r="E137" t="s">
        <v>142</v>
      </c>
      <c r="F137" t="s">
        <v>382</v>
      </c>
      <c r="G137">
        <v>970</v>
      </c>
      <c r="H137">
        <v>1</v>
      </c>
      <c r="I137">
        <v>1</v>
      </c>
      <c r="J137">
        <v>0</v>
      </c>
      <c r="K137" t="s">
        <v>536</v>
      </c>
      <c r="L137" t="s">
        <v>721</v>
      </c>
      <c r="M137" t="s">
        <v>721</v>
      </c>
      <c r="P137" t="s">
        <v>281</v>
      </c>
      <c r="Q137">
        <v>4.9000000000000004</v>
      </c>
      <c r="R137">
        <v>7.5640000000000001</v>
      </c>
      <c r="S137">
        <v>4.6399999999999997</v>
      </c>
      <c r="T137">
        <v>27.9</v>
      </c>
      <c r="U137">
        <v>4.9000000000000004</v>
      </c>
      <c r="V137">
        <v>106</v>
      </c>
      <c r="W137">
        <v>101.8</v>
      </c>
      <c r="X137">
        <v>3.2</v>
      </c>
      <c r="Y137">
        <v>-5.8</v>
      </c>
      <c r="Z137">
        <v>0.8</v>
      </c>
      <c r="AB137">
        <v>4.4000000000000004</v>
      </c>
      <c r="AC137">
        <v>149</v>
      </c>
      <c r="AD137">
        <v>1.02</v>
      </c>
      <c r="AE137">
        <v>104</v>
      </c>
      <c r="AF137" t="s">
        <v>844</v>
      </c>
      <c r="AG137">
        <v>1.6</v>
      </c>
      <c r="AK137">
        <v>9.1999999999999993</v>
      </c>
      <c r="AM137">
        <v>100.7</v>
      </c>
      <c r="AN137">
        <v>13.5</v>
      </c>
      <c r="AO137">
        <v>17.899999999999999</v>
      </c>
      <c r="AP137">
        <v>10.4</v>
      </c>
      <c r="AQ137">
        <v>8.6</v>
      </c>
      <c r="AR137">
        <v>1.1200000000000001</v>
      </c>
      <c r="AS137">
        <v>31.4</v>
      </c>
      <c r="AU137">
        <v>72.7</v>
      </c>
      <c r="AV137">
        <v>24</v>
      </c>
      <c r="AW137">
        <v>7516</v>
      </c>
      <c r="AX137" t="s">
        <v>1251</v>
      </c>
      <c r="AY137" t="s">
        <v>1252</v>
      </c>
      <c r="AZ137">
        <v>302</v>
      </c>
      <c r="BA137">
        <v>27.3</v>
      </c>
      <c r="BB137">
        <v>8.6</v>
      </c>
      <c r="BC137">
        <v>9.1999999999999993</v>
      </c>
    </row>
    <row r="138" spans="1:57" x14ac:dyDescent="0.25">
      <c r="A138" t="s">
        <v>686</v>
      </c>
      <c r="C138" t="s">
        <v>39</v>
      </c>
      <c r="D138">
        <v>1</v>
      </c>
      <c r="E138" t="s">
        <v>40</v>
      </c>
      <c r="F138" t="s">
        <v>49</v>
      </c>
      <c r="G138">
        <v>1222</v>
      </c>
      <c r="H138">
        <v>0</v>
      </c>
      <c r="I138">
        <v>1</v>
      </c>
      <c r="J138">
        <v>1</v>
      </c>
      <c r="K138" t="s">
        <v>1326</v>
      </c>
      <c r="L138" t="s">
        <v>1079</v>
      </c>
      <c r="M138" t="s">
        <v>1079</v>
      </c>
      <c r="P138" t="s">
        <v>91</v>
      </c>
      <c r="Q138">
        <v>5.4</v>
      </c>
      <c r="R138">
        <v>7.5110000000000001</v>
      </c>
      <c r="S138">
        <v>5.29</v>
      </c>
      <c r="T138">
        <v>38.200000000000003</v>
      </c>
      <c r="U138">
        <v>5.4</v>
      </c>
      <c r="V138">
        <v>101.6</v>
      </c>
      <c r="W138">
        <v>100.7</v>
      </c>
      <c r="X138">
        <v>0.7</v>
      </c>
      <c r="Y138">
        <v>-1.6</v>
      </c>
      <c r="Z138">
        <v>0.2</v>
      </c>
      <c r="AB138">
        <v>2.9</v>
      </c>
      <c r="AC138">
        <v>165</v>
      </c>
      <c r="AD138">
        <v>0.99</v>
      </c>
      <c r="AE138">
        <v>114</v>
      </c>
      <c r="AF138" t="s">
        <v>602</v>
      </c>
      <c r="AG138">
        <v>1.5</v>
      </c>
      <c r="AI138">
        <v>13</v>
      </c>
      <c r="AJ138">
        <v>2.56</v>
      </c>
      <c r="AK138">
        <v>8.6999999999999993</v>
      </c>
      <c r="AL138">
        <v>31.9</v>
      </c>
      <c r="AM138">
        <v>100.6</v>
      </c>
      <c r="AN138">
        <v>19.100000000000001</v>
      </c>
      <c r="AO138">
        <v>22</v>
      </c>
      <c r="AP138">
        <v>12.1</v>
      </c>
      <c r="AQ138">
        <v>8.1</v>
      </c>
      <c r="AR138">
        <v>1.05</v>
      </c>
      <c r="AS138">
        <v>31.7</v>
      </c>
      <c r="AT138">
        <v>66.599999999999994</v>
      </c>
      <c r="AU138">
        <v>73.8</v>
      </c>
      <c r="AV138">
        <v>26.8</v>
      </c>
      <c r="AW138">
        <v>7509</v>
      </c>
      <c r="AX138" t="s">
        <v>1327</v>
      </c>
      <c r="AY138" t="s">
        <v>1328</v>
      </c>
      <c r="AZ138">
        <v>342.4</v>
      </c>
      <c r="BA138">
        <v>30.8</v>
      </c>
      <c r="BB138">
        <v>8.1</v>
      </c>
      <c r="BC138">
        <v>8.6999999999999993</v>
      </c>
      <c r="BD138">
        <v>8.1</v>
      </c>
      <c r="BE138">
        <v>8.6999999999999993</v>
      </c>
    </row>
    <row r="139" spans="1:57" x14ac:dyDescent="0.25">
      <c r="A139" t="s">
        <v>805</v>
      </c>
      <c r="C139" t="s">
        <v>43</v>
      </c>
      <c r="D139">
        <v>1</v>
      </c>
      <c r="E139" t="s">
        <v>146</v>
      </c>
      <c r="F139" t="s">
        <v>49</v>
      </c>
      <c r="G139">
        <v>1065.9000000000001</v>
      </c>
      <c r="H139">
        <v>0</v>
      </c>
      <c r="I139">
        <v>1</v>
      </c>
      <c r="J139">
        <v>0</v>
      </c>
      <c r="K139" t="s">
        <v>1410</v>
      </c>
      <c r="L139" t="s">
        <v>1079</v>
      </c>
      <c r="M139" t="s">
        <v>1079</v>
      </c>
      <c r="P139" t="s">
        <v>92</v>
      </c>
      <c r="Q139">
        <v>5.6</v>
      </c>
      <c r="R139">
        <v>7.4790000000000001</v>
      </c>
      <c r="S139">
        <v>5.53</v>
      </c>
      <c r="T139">
        <v>18.3</v>
      </c>
      <c r="U139">
        <v>5.6</v>
      </c>
      <c r="V139">
        <v>101.1</v>
      </c>
      <c r="W139">
        <v>100.2</v>
      </c>
      <c r="X139">
        <v>0.8</v>
      </c>
      <c r="Y139">
        <v>-1.1000000000000001</v>
      </c>
      <c r="Z139">
        <v>0.1</v>
      </c>
      <c r="AB139">
        <v>3.9</v>
      </c>
      <c r="AC139">
        <v>147</v>
      </c>
      <c r="AD139">
        <v>1.32</v>
      </c>
      <c r="AE139">
        <v>103</v>
      </c>
      <c r="AF139" t="s">
        <v>1411</v>
      </c>
      <c r="AG139">
        <v>1.4</v>
      </c>
      <c r="AI139">
        <v>12.8</v>
      </c>
      <c r="AJ139">
        <v>2.65</v>
      </c>
      <c r="AK139">
        <v>7.3</v>
      </c>
      <c r="AL139">
        <v>30.6</v>
      </c>
      <c r="AM139">
        <v>100.6</v>
      </c>
      <c r="AN139">
        <v>12.7</v>
      </c>
      <c r="AO139">
        <v>16.600000000000001</v>
      </c>
      <c r="AP139">
        <v>12.4</v>
      </c>
      <c r="AQ139">
        <v>6.7</v>
      </c>
      <c r="AR139">
        <v>1.38</v>
      </c>
      <c r="AS139">
        <v>30.8</v>
      </c>
      <c r="AT139">
        <v>64.7</v>
      </c>
      <c r="AU139">
        <v>71.900000000000006</v>
      </c>
      <c r="AV139">
        <v>27.6</v>
      </c>
      <c r="AW139">
        <v>7492</v>
      </c>
      <c r="AX139" t="s">
        <v>1296</v>
      </c>
      <c r="AY139" t="s">
        <v>1412</v>
      </c>
      <c r="AZ139">
        <v>295.39999999999998</v>
      </c>
      <c r="BA139">
        <v>33.200000000000003</v>
      </c>
      <c r="BB139">
        <v>6.7</v>
      </c>
      <c r="BC139">
        <v>7.3</v>
      </c>
      <c r="BD139">
        <v>6.7</v>
      </c>
      <c r="BE139">
        <v>7.3</v>
      </c>
    </row>
    <row r="140" spans="1:57" x14ac:dyDescent="0.25">
      <c r="A140" t="s">
        <v>837</v>
      </c>
      <c r="B140">
        <v>108</v>
      </c>
      <c r="C140" t="s">
        <v>47</v>
      </c>
      <c r="D140">
        <v>1</v>
      </c>
      <c r="E140" t="s">
        <v>146</v>
      </c>
      <c r="F140" t="s">
        <v>60</v>
      </c>
      <c r="G140">
        <v>1174</v>
      </c>
      <c r="H140">
        <v>0</v>
      </c>
      <c r="I140">
        <v>1</v>
      </c>
      <c r="J140">
        <v>0</v>
      </c>
      <c r="K140" t="s">
        <v>1427</v>
      </c>
      <c r="L140" t="s">
        <v>1079</v>
      </c>
      <c r="M140" t="s">
        <v>1079</v>
      </c>
      <c r="P140" t="s">
        <v>93</v>
      </c>
      <c r="Q140">
        <v>5.6</v>
      </c>
      <c r="R140">
        <v>7.5810000000000004</v>
      </c>
      <c r="S140">
        <v>4.41</v>
      </c>
      <c r="T140">
        <v>12.2</v>
      </c>
      <c r="U140">
        <v>5.6</v>
      </c>
      <c r="V140">
        <v>100.6</v>
      </c>
      <c r="W140">
        <v>99.7</v>
      </c>
      <c r="X140">
        <v>0.8</v>
      </c>
      <c r="Y140">
        <v>-0.6</v>
      </c>
      <c r="Z140">
        <v>0.1</v>
      </c>
      <c r="AB140">
        <v>4.0999999999999996</v>
      </c>
      <c r="AC140">
        <v>182</v>
      </c>
      <c r="AD140">
        <v>0.9</v>
      </c>
      <c r="AE140">
        <v>113</v>
      </c>
      <c r="AF140" t="s">
        <v>752</v>
      </c>
      <c r="AG140">
        <v>2</v>
      </c>
      <c r="AI140">
        <v>12.8</v>
      </c>
      <c r="AJ140">
        <v>2.36</v>
      </c>
      <c r="AK140">
        <v>9.1999999999999993</v>
      </c>
      <c r="AL140">
        <v>32.5</v>
      </c>
      <c r="AM140">
        <v>100.7</v>
      </c>
      <c r="AN140">
        <v>38.799999999999997</v>
      </c>
      <c r="AO140">
        <v>42.9</v>
      </c>
      <c r="AP140">
        <v>12.5</v>
      </c>
      <c r="AQ140">
        <v>8.6999999999999993</v>
      </c>
      <c r="AR140">
        <v>0.99</v>
      </c>
      <c r="AS140">
        <v>31.1</v>
      </c>
      <c r="AT140">
        <v>64.400000000000006</v>
      </c>
      <c r="AU140">
        <v>71.900000000000006</v>
      </c>
      <c r="AV140">
        <v>27.7</v>
      </c>
      <c r="AW140">
        <v>7517</v>
      </c>
      <c r="AX140" t="s">
        <v>1128</v>
      </c>
      <c r="AY140" t="s">
        <v>1428</v>
      </c>
      <c r="AZ140">
        <v>369</v>
      </c>
      <c r="BA140">
        <v>26.3</v>
      </c>
      <c r="BB140">
        <v>8.6999999999999993</v>
      </c>
      <c r="BC140">
        <v>9.1999999999999993</v>
      </c>
      <c r="BD140">
        <v>8.6999999999999993</v>
      </c>
      <c r="BE140">
        <v>9.1999999999999993</v>
      </c>
    </row>
    <row r="141" spans="1:57" x14ac:dyDescent="0.25">
      <c r="A141" t="s">
        <v>650</v>
      </c>
      <c r="B141">
        <v>105</v>
      </c>
      <c r="C141" t="s">
        <v>49</v>
      </c>
      <c r="D141">
        <v>1</v>
      </c>
      <c r="E141" t="s">
        <v>40</v>
      </c>
      <c r="F141" t="s">
        <v>49</v>
      </c>
      <c r="G141">
        <v>1038.5</v>
      </c>
      <c r="H141">
        <v>0</v>
      </c>
      <c r="I141">
        <v>1</v>
      </c>
      <c r="J141">
        <v>1</v>
      </c>
      <c r="K141" t="s">
        <v>1341</v>
      </c>
      <c r="L141" t="s">
        <v>1079</v>
      </c>
      <c r="M141" t="s">
        <v>1079</v>
      </c>
      <c r="P141" t="s">
        <v>94</v>
      </c>
      <c r="Q141">
        <v>5.0999999999999996</v>
      </c>
      <c r="R141">
        <v>7.5179999999999998</v>
      </c>
      <c r="S141">
        <v>4.91</v>
      </c>
      <c r="T141">
        <v>23</v>
      </c>
      <c r="U141">
        <v>5.0999999999999996</v>
      </c>
      <c r="V141">
        <v>101.6</v>
      </c>
      <c r="W141">
        <v>100.7</v>
      </c>
      <c r="X141">
        <v>0.7</v>
      </c>
      <c r="Y141">
        <v>-1.6</v>
      </c>
      <c r="Z141">
        <v>0.2</v>
      </c>
      <c r="AB141">
        <v>3.2</v>
      </c>
      <c r="AC141">
        <v>161</v>
      </c>
      <c r="AD141">
        <v>0.98</v>
      </c>
      <c r="AE141">
        <v>111</v>
      </c>
      <c r="AF141" t="s">
        <v>877</v>
      </c>
      <c r="AG141">
        <v>2</v>
      </c>
      <c r="AI141">
        <v>11.8</v>
      </c>
      <c r="AJ141">
        <v>2.59</v>
      </c>
      <c r="AK141">
        <v>7</v>
      </c>
      <c r="AL141">
        <v>30.4</v>
      </c>
      <c r="AM141">
        <v>100.6</v>
      </c>
      <c r="AN141">
        <v>20.2</v>
      </c>
      <c r="AO141">
        <v>23.4</v>
      </c>
      <c r="AP141">
        <v>11.3</v>
      </c>
      <c r="AQ141">
        <v>6.5</v>
      </c>
      <c r="AR141">
        <v>1.05</v>
      </c>
      <c r="AS141">
        <v>29.9</v>
      </c>
      <c r="AT141">
        <v>63.1</v>
      </c>
      <c r="AU141">
        <v>69.5</v>
      </c>
      <c r="AV141">
        <v>25.1</v>
      </c>
      <c r="AW141">
        <v>7490</v>
      </c>
      <c r="AX141" t="s">
        <v>1342</v>
      </c>
      <c r="AY141" t="s">
        <v>1343</v>
      </c>
      <c r="AZ141">
        <v>336.5</v>
      </c>
      <c r="BA141">
        <v>30.4</v>
      </c>
      <c r="BB141">
        <v>6.5</v>
      </c>
      <c r="BC141">
        <v>7</v>
      </c>
      <c r="BD141">
        <v>6.5</v>
      </c>
      <c r="BE141">
        <v>7</v>
      </c>
    </row>
    <row r="142" spans="1:57" x14ac:dyDescent="0.25">
      <c r="A142" t="s">
        <v>842</v>
      </c>
      <c r="B142">
        <v>106</v>
      </c>
      <c r="C142" t="s">
        <v>51</v>
      </c>
      <c r="D142">
        <v>1</v>
      </c>
      <c r="E142" t="s">
        <v>146</v>
      </c>
      <c r="F142" t="s">
        <v>49</v>
      </c>
      <c r="G142">
        <v>932.1</v>
      </c>
      <c r="H142">
        <v>0</v>
      </c>
      <c r="I142">
        <v>1</v>
      </c>
      <c r="J142">
        <v>0</v>
      </c>
      <c r="K142" t="s">
        <v>1419</v>
      </c>
      <c r="L142" t="s">
        <v>1079</v>
      </c>
      <c r="M142" t="s">
        <v>1079</v>
      </c>
      <c r="P142" t="s">
        <v>95</v>
      </c>
      <c r="Q142">
        <v>5</v>
      </c>
      <c r="R142">
        <v>7.4649999999999999</v>
      </c>
      <c r="S142">
        <v>6.24</v>
      </c>
      <c r="T142">
        <v>24.3</v>
      </c>
      <c r="U142">
        <v>5</v>
      </c>
      <c r="V142">
        <v>105.6</v>
      </c>
      <c r="W142">
        <v>101.5</v>
      </c>
      <c r="X142">
        <v>3</v>
      </c>
      <c r="Y142">
        <v>-5.4</v>
      </c>
      <c r="Z142">
        <v>0.9</v>
      </c>
      <c r="AB142">
        <v>3.7</v>
      </c>
      <c r="AC142">
        <v>147</v>
      </c>
      <c r="AD142">
        <v>1.34</v>
      </c>
      <c r="AE142">
        <v>100</v>
      </c>
      <c r="AF142" t="s">
        <v>728</v>
      </c>
      <c r="AG142">
        <v>1</v>
      </c>
      <c r="AK142">
        <v>9.9</v>
      </c>
      <c r="AM142">
        <v>100.7</v>
      </c>
      <c r="AN142">
        <v>13.2</v>
      </c>
      <c r="AO142">
        <v>16.899999999999999</v>
      </c>
      <c r="AP142">
        <v>10.8</v>
      </c>
      <c r="AQ142">
        <v>9</v>
      </c>
      <c r="AR142">
        <v>1.39</v>
      </c>
      <c r="AS142">
        <v>33.700000000000003</v>
      </c>
      <c r="AU142">
        <v>78.7</v>
      </c>
      <c r="AV142">
        <v>24.7</v>
      </c>
      <c r="AW142">
        <v>7519</v>
      </c>
      <c r="AX142" t="s">
        <v>1420</v>
      </c>
      <c r="AY142" t="s">
        <v>1421</v>
      </c>
      <c r="AZ142">
        <v>296.5</v>
      </c>
      <c r="BA142">
        <v>34.299999999999997</v>
      </c>
      <c r="BB142">
        <v>9</v>
      </c>
      <c r="BC142">
        <v>9.9</v>
      </c>
    </row>
    <row r="143" spans="1:57" x14ac:dyDescent="0.25">
      <c r="A143" t="s">
        <v>617</v>
      </c>
      <c r="B143">
        <v>111</v>
      </c>
      <c r="C143" t="s">
        <v>53</v>
      </c>
      <c r="D143">
        <v>1</v>
      </c>
      <c r="E143" t="s">
        <v>54</v>
      </c>
      <c r="F143" t="s">
        <v>60</v>
      </c>
      <c r="G143">
        <v>1165</v>
      </c>
      <c r="H143">
        <v>0</v>
      </c>
      <c r="I143">
        <v>0</v>
      </c>
      <c r="J143">
        <v>1</v>
      </c>
      <c r="K143" t="s">
        <v>1317</v>
      </c>
      <c r="L143" t="s">
        <v>1079</v>
      </c>
      <c r="M143" t="s">
        <v>1079</v>
      </c>
      <c r="P143" t="s">
        <v>96</v>
      </c>
      <c r="Q143">
        <v>5.2</v>
      </c>
      <c r="R143">
        <v>7.5279999999999996</v>
      </c>
      <c r="S143">
        <v>4.82</v>
      </c>
      <c r="T143">
        <v>17.600000000000001</v>
      </c>
      <c r="U143">
        <v>5.2</v>
      </c>
      <c r="V143">
        <v>101.4</v>
      </c>
      <c r="W143">
        <v>100.3</v>
      </c>
      <c r="X143">
        <v>0.9</v>
      </c>
      <c r="Y143">
        <v>-1.4</v>
      </c>
      <c r="Z143">
        <v>0.2</v>
      </c>
      <c r="AB143">
        <v>4</v>
      </c>
      <c r="AC143">
        <v>164</v>
      </c>
      <c r="AD143">
        <v>1.1499999999999999</v>
      </c>
      <c r="AE143">
        <v>110</v>
      </c>
      <c r="AF143" t="s">
        <v>1318</v>
      </c>
      <c r="AG143">
        <v>1.8</v>
      </c>
      <c r="AI143">
        <v>11.9</v>
      </c>
      <c r="AJ143">
        <v>2.54</v>
      </c>
      <c r="AK143">
        <v>7.3</v>
      </c>
      <c r="AL143">
        <v>30.7</v>
      </c>
      <c r="AM143">
        <v>100.6</v>
      </c>
      <c r="AN143">
        <v>23.6</v>
      </c>
      <c r="AO143">
        <v>27.6</v>
      </c>
      <c r="AP143">
        <v>11.5</v>
      </c>
      <c r="AQ143">
        <v>6.8</v>
      </c>
      <c r="AR143">
        <v>1.23</v>
      </c>
      <c r="AS143">
        <v>30</v>
      </c>
      <c r="AT143">
        <v>63.2</v>
      </c>
      <c r="AU143">
        <v>69.8</v>
      </c>
      <c r="AV143">
        <v>25.7</v>
      </c>
      <c r="AW143">
        <v>7494</v>
      </c>
      <c r="AX143" t="s">
        <v>1319</v>
      </c>
      <c r="AY143" t="s">
        <v>1320</v>
      </c>
      <c r="AZ143">
        <v>340.6</v>
      </c>
      <c r="BA143">
        <v>29.7</v>
      </c>
      <c r="BB143">
        <v>6.8</v>
      </c>
      <c r="BC143">
        <v>7.3</v>
      </c>
      <c r="BD143">
        <v>6.8</v>
      </c>
      <c r="BE143">
        <v>7.3</v>
      </c>
    </row>
    <row r="144" spans="1:57" x14ac:dyDescent="0.25">
      <c r="A144" t="s">
        <v>691</v>
      </c>
      <c r="B144">
        <v>107</v>
      </c>
      <c r="C144" t="s">
        <v>56</v>
      </c>
      <c r="D144">
        <v>1</v>
      </c>
      <c r="E144" t="s">
        <v>40</v>
      </c>
      <c r="F144" t="s">
        <v>60</v>
      </c>
      <c r="G144">
        <v>1075</v>
      </c>
      <c r="H144">
        <v>0</v>
      </c>
      <c r="I144">
        <v>1</v>
      </c>
      <c r="J144">
        <v>1</v>
      </c>
      <c r="K144" t="s">
        <v>1351</v>
      </c>
      <c r="L144" t="s">
        <v>1079</v>
      </c>
      <c r="M144" t="s">
        <v>1079</v>
      </c>
      <c r="P144" t="s">
        <v>97</v>
      </c>
      <c r="Q144">
        <v>5.7</v>
      </c>
      <c r="R144">
        <v>7.51</v>
      </c>
      <c r="S144">
        <v>5.17</v>
      </c>
      <c r="T144">
        <v>30.1</v>
      </c>
      <c r="U144">
        <v>5.7</v>
      </c>
      <c r="V144">
        <v>101.3</v>
      </c>
      <c r="W144">
        <v>100.5</v>
      </c>
      <c r="X144">
        <v>0.6</v>
      </c>
      <c r="Y144">
        <v>-1.3</v>
      </c>
      <c r="Z144">
        <v>0.2</v>
      </c>
      <c r="AB144">
        <v>3.7</v>
      </c>
      <c r="AC144">
        <v>143</v>
      </c>
      <c r="AD144">
        <v>1.39</v>
      </c>
      <c r="AE144">
        <v>102</v>
      </c>
      <c r="AF144" t="s">
        <v>1049</v>
      </c>
      <c r="AG144">
        <v>1.5</v>
      </c>
      <c r="AI144">
        <v>13.5</v>
      </c>
      <c r="AJ144">
        <v>2.56</v>
      </c>
      <c r="AK144">
        <v>7.9</v>
      </c>
      <c r="AL144">
        <v>31.2</v>
      </c>
      <c r="AM144">
        <v>100.7</v>
      </c>
      <c r="AN144">
        <v>9.3000000000000007</v>
      </c>
      <c r="AO144">
        <v>13.1</v>
      </c>
      <c r="AP144">
        <v>12.8</v>
      </c>
      <c r="AQ144">
        <v>7.3</v>
      </c>
      <c r="AR144">
        <v>1.47</v>
      </c>
      <c r="AS144">
        <v>30.9</v>
      </c>
      <c r="AT144">
        <v>64.5</v>
      </c>
      <c r="AU144">
        <v>72</v>
      </c>
      <c r="AV144">
        <v>28.3</v>
      </c>
      <c r="AW144">
        <v>7500</v>
      </c>
      <c r="AX144" t="s">
        <v>1039</v>
      </c>
      <c r="AY144" t="s">
        <v>1352</v>
      </c>
      <c r="AZ144">
        <v>306.3</v>
      </c>
      <c r="BA144">
        <v>30.9</v>
      </c>
      <c r="BB144">
        <v>7.3</v>
      </c>
      <c r="BC144">
        <v>7.9</v>
      </c>
      <c r="BD144">
        <v>7.3</v>
      </c>
      <c r="BE144">
        <v>7.9</v>
      </c>
    </row>
    <row r="145" spans="1:57" x14ac:dyDescent="0.25">
      <c r="A145" t="s">
        <v>734</v>
      </c>
      <c r="C145" t="s">
        <v>80</v>
      </c>
      <c r="D145">
        <v>1</v>
      </c>
      <c r="E145" t="s">
        <v>142</v>
      </c>
      <c r="F145" t="s">
        <v>60</v>
      </c>
      <c r="G145">
        <v>1324.5</v>
      </c>
      <c r="H145">
        <v>1</v>
      </c>
      <c r="I145">
        <v>1</v>
      </c>
      <c r="J145">
        <v>0</v>
      </c>
      <c r="K145" t="s">
        <v>1377</v>
      </c>
      <c r="L145" t="s">
        <v>1079</v>
      </c>
      <c r="M145" t="s">
        <v>1079</v>
      </c>
      <c r="P145" t="s">
        <v>98</v>
      </c>
      <c r="Q145">
        <v>3.8</v>
      </c>
      <c r="R145">
        <v>7.3739999999999997</v>
      </c>
      <c r="S145">
        <v>7.72</v>
      </c>
      <c r="T145">
        <v>4.7300000000000004</v>
      </c>
      <c r="U145">
        <v>3.8</v>
      </c>
      <c r="V145">
        <v>77.400000000000006</v>
      </c>
      <c r="W145">
        <v>74.7</v>
      </c>
      <c r="X145">
        <v>2.8</v>
      </c>
      <c r="Y145">
        <v>21.8</v>
      </c>
      <c r="Z145">
        <v>0.7</v>
      </c>
      <c r="AB145">
        <v>3.9</v>
      </c>
      <c r="AC145">
        <v>174</v>
      </c>
      <c r="AD145">
        <v>0.79</v>
      </c>
      <c r="AE145">
        <v>116</v>
      </c>
      <c r="AF145" t="s">
        <v>652</v>
      </c>
      <c r="AG145">
        <v>1.2</v>
      </c>
      <c r="AI145">
        <v>6.4</v>
      </c>
      <c r="AJ145">
        <v>2.96</v>
      </c>
      <c r="AK145">
        <v>8.6</v>
      </c>
      <c r="AL145">
        <v>31.4</v>
      </c>
      <c r="AM145">
        <v>100.6</v>
      </c>
      <c r="AN145">
        <v>24.2</v>
      </c>
      <c r="AO145">
        <v>28.1</v>
      </c>
      <c r="AP145">
        <v>8.1</v>
      </c>
      <c r="AQ145">
        <v>7.8</v>
      </c>
      <c r="AR145">
        <v>0.78</v>
      </c>
      <c r="AS145">
        <v>33.799999999999997</v>
      </c>
      <c r="AT145">
        <v>74.8</v>
      </c>
      <c r="AU145">
        <v>79.7</v>
      </c>
      <c r="AV145">
        <v>18.600000000000001</v>
      </c>
      <c r="AW145">
        <v>7503</v>
      </c>
      <c r="AX145" t="s">
        <v>1378</v>
      </c>
      <c r="AY145" t="s">
        <v>1379</v>
      </c>
      <c r="AZ145">
        <v>350.6</v>
      </c>
      <c r="BA145">
        <v>42.2</v>
      </c>
      <c r="BB145">
        <v>7.8</v>
      </c>
      <c r="BC145">
        <v>8.6</v>
      </c>
      <c r="BD145">
        <v>7.6</v>
      </c>
      <c r="BE145">
        <v>8.4</v>
      </c>
    </row>
    <row r="146" spans="1:57" x14ac:dyDescent="0.25">
      <c r="A146" t="s">
        <v>711</v>
      </c>
      <c r="C146" t="s">
        <v>82</v>
      </c>
      <c r="D146">
        <v>1</v>
      </c>
      <c r="E146" t="s">
        <v>71</v>
      </c>
      <c r="F146" t="s">
        <v>60</v>
      </c>
      <c r="G146">
        <v>1206.8</v>
      </c>
      <c r="H146">
        <v>0</v>
      </c>
      <c r="I146">
        <v>0</v>
      </c>
      <c r="J146">
        <v>0</v>
      </c>
      <c r="K146" t="s">
        <v>1366</v>
      </c>
      <c r="L146" t="s">
        <v>1079</v>
      </c>
      <c r="M146" t="s">
        <v>1079</v>
      </c>
      <c r="P146" t="s">
        <v>99</v>
      </c>
      <c r="Q146">
        <v>5.5</v>
      </c>
      <c r="R146">
        <v>7.5</v>
      </c>
      <c r="S146">
        <v>5.54</v>
      </c>
      <c r="T146">
        <v>37.4</v>
      </c>
      <c r="U146">
        <v>5.5</v>
      </c>
      <c r="V146">
        <v>101.5</v>
      </c>
      <c r="W146">
        <v>100.6</v>
      </c>
      <c r="X146">
        <v>0.7</v>
      </c>
      <c r="Y146">
        <v>-1.5</v>
      </c>
      <c r="Z146">
        <v>0.2</v>
      </c>
      <c r="AB146">
        <v>4.5999999999999996</v>
      </c>
      <c r="AC146">
        <v>143</v>
      </c>
      <c r="AD146">
        <v>1.4</v>
      </c>
      <c r="AE146">
        <v>100</v>
      </c>
      <c r="AF146" t="s">
        <v>728</v>
      </c>
      <c r="AG146">
        <v>1.8</v>
      </c>
      <c r="AI146">
        <v>13.2</v>
      </c>
      <c r="AJ146">
        <v>2.61</v>
      </c>
      <c r="AK146">
        <v>9.1</v>
      </c>
      <c r="AL146">
        <v>32.200000000000003</v>
      </c>
      <c r="AM146">
        <v>100.6</v>
      </c>
      <c r="AN146">
        <v>10.5</v>
      </c>
      <c r="AO146">
        <v>15.1</v>
      </c>
      <c r="AP146">
        <v>12.3</v>
      </c>
      <c r="AQ146">
        <v>8.4</v>
      </c>
      <c r="AR146">
        <v>1.48</v>
      </c>
      <c r="AS146">
        <v>32.299999999999997</v>
      </c>
      <c r="AT146">
        <v>67.8</v>
      </c>
      <c r="AU146">
        <v>75.3</v>
      </c>
      <c r="AV146">
        <v>27.3</v>
      </c>
      <c r="AW146">
        <v>7512</v>
      </c>
      <c r="AX146" t="s">
        <v>1296</v>
      </c>
      <c r="AY146" t="s">
        <v>1367</v>
      </c>
      <c r="AZ146">
        <v>289.39999999999998</v>
      </c>
      <c r="BA146">
        <v>31.7</v>
      </c>
      <c r="BB146">
        <v>8.4</v>
      </c>
      <c r="BC146">
        <v>9.1</v>
      </c>
      <c r="BD146">
        <v>8.4</v>
      </c>
      <c r="BE146">
        <v>9.1</v>
      </c>
    </row>
    <row r="147" spans="1:57" x14ac:dyDescent="0.25">
      <c r="A147" t="s">
        <v>626</v>
      </c>
      <c r="B147">
        <v>113</v>
      </c>
      <c r="C147" t="s">
        <v>58</v>
      </c>
      <c r="D147">
        <v>1</v>
      </c>
      <c r="E147" t="s">
        <v>54</v>
      </c>
      <c r="F147" t="s">
        <v>49</v>
      </c>
      <c r="G147">
        <v>1129</v>
      </c>
      <c r="H147">
        <v>0</v>
      </c>
      <c r="I147">
        <v>0</v>
      </c>
      <c r="J147">
        <v>1</v>
      </c>
      <c r="K147" t="s">
        <v>1313</v>
      </c>
      <c r="L147" t="s">
        <v>1079</v>
      </c>
      <c r="M147" t="s">
        <v>1079</v>
      </c>
      <c r="P147" t="s">
        <v>100</v>
      </c>
      <c r="Q147">
        <v>5.7</v>
      </c>
      <c r="R147">
        <v>7.5590000000000002</v>
      </c>
      <c r="S147">
        <v>4.96</v>
      </c>
      <c r="T147">
        <v>28.1</v>
      </c>
      <c r="U147">
        <v>5.7</v>
      </c>
      <c r="V147">
        <v>101.2</v>
      </c>
      <c r="W147">
        <v>100.4</v>
      </c>
      <c r="X147">
        <v>0.7</v>
      </c>
      <c r="Y147">
        <v>-1.2</v>
      </c>
      <c r="Z147">
        <v>0.1</v>
      </c>
      <c r="AB147">
        <v>3.6</v>
      </c>
      <c r="AC147">
        <v>148</v>
      </c>
      <c r="AD147">
        <v>1.2</v>
      </c>
      <c r="AE147">
        <v>104</v>
      </c>
      <c r="AF147" t="s">
        <v>1314</v>
      </c>
      <c r="AG147">
        <v>1.6</v>
      </c>
      <c r="AI147">
        <v>13.4</v>
      </c>
      <c r="AJ147">
        <v>2.4</v>
      </c>
      <c r="AK147">
        <v>11</v>
      </c>
      <c r="AL147">
        <v>34</v>
      </c>
      <c r="AM147">
        <v>100.7</v>
      </c>
      <c r="AN147">
        <v>11.1</v>
      </c>
      <c r="AO147">
        <v>14.7</v>
      </c>
      <c r="AP147">
        <v>12.7</v>
      </c>
      <c r="AQ147">
        <v>10.199999999999999</v>
      </c>
      <c r="AR147">
        <v>1.31</v>
      </c>
      <c r="AS147">
        <v>33.200000000000003</v>
      </c>
      <c r="AT147">
        <v>68.8</v>
      </c>
      <c r="AU147">
        <v>77</v>
      </c>
      <c r="AV147">
        <v>28.3</v>
      </c>
      <c r="AW147">
        <v>7535</v>
      </c>
      <c r="AX147" t="s">
        <v>1315</v>
      </c>
      <c r="AY147" t="s">
        <v>1316</v>
      </c>
      <c r="AZ147">
        <v>308.10000000000002</v>
      </c>
      <c r="BA147">
        <v>27.6</v>
      </c>
      <c r="BB147">
        <v>10.199999999999999</v>
      </c>
      <c r="BC147">
        <v>11</v>
      </c>
      <c r="BD147">
        <v>10.199999999999999</v>
      </c>
      <c r="BE147">
        <v>11</v>
      </c>
    </row>
    <row r="148" spans="1:57" x14ac:dyDescent="0.25">
      <c r="A148" t="s">
        <v>779</v>
      </c>
      <c r="B148">
        <v>114</v>
      </c>
      <c r="C148" t="s">
        <v>60</v>
      </c>
      <c r="D148">
        <v>1</v>
      </c>
      <c r="E148" t="s">
        <v>142</v>
      </c>
      <c r="F148" t="s">
        <v>49</v>
      </c>
      <c r="G148">
        <v>1191</v>
      </c>
      <c r="H148">
        <v>1</v>
      </c>
      <c r="I148">
        <v>1</v>
      </c>
      <c r="J148">
        <v>0</v>
      </c>
      <c r="K148" t="s">
        <v>1392</v>
      </c>
      <c r="L148" t="s">
        <v>1079</v>
      </c>
      <c r="M148" t="s">
        <v>1079</v>
      </c>
      <c r="P148" t="s">
        <v>101</v>
      </c>
      <c r="Q148">
        <v>5.4</v>
      </c>
      <c r="R148">
        <v>7.444</v>
      </c>
      <c r="S148">
        <v>5.92</v>
      </c>
      <c r="T148">
        <v>31.5</v>
      </c>
      <c r="U148">
        <v>5.4</v>
      </c>
      <c r="V148">
        <v>101.5</v>
      </c>
      <c r="W148">
        <v>100.4</v>
      </c>
      <c r="X148">
        <v>0.8</v>
      </c>
      <c r="Y148">
        <v>-1.5</v>
      </c>
      <c r="Z148">
        <v>0.3</v>
      </c>
      <c r="AB148">
        <v>3.6</v>
      </c>
      <c r="AC148">
        <v>189</v>
      </c>
      <c r="AD148">
        <v>0.51</v>
      </c>
      <c r="AE148">
        <v>130</v>
      </c>
      <c r="AF148" t="s">
        <v>749</v>
      </c>
      <c r="AG148">
        <v>0.9</v>
      </c>
      <c r="AI148">
        <v>12.7</v>
      </c>
      <c r="AJ148">
        <v>2.78</v>
      </c>
      <c r="AK148">
        <v>6.3</v>
      </c>
      <c r="AL148">
        <v>29.6</v>
      </c>
      <c r="AM148">
        <v>100.7</v>
      </c>
      <c r="AN148">
        <v>28.1</v>
      </c>
      <c r="AO148">
        <v>31.7</v>
      </c>
      <c r="AP148">
        <v>11.9</v>
      </c>
      <c r="AQ148">
        <v>5.7</v>
      </c>
      <c r="AR148">
        <v>0.53</v>
      </c>
      <c r="AS148">
        <v>30.4</v>
      </c>
      <c r="AT148">
        <v>64.400000000000006</v>
      </c>
      <c r="AU148">
        <v>71.2</v>
      </c>
      <c r="AV148">
        <v>26.6</v>
      </c>
      <c r="AW148">
        <v>7479</v>
      </c>
      <c r="AX148" t="s">
        <v>1393</v>
      </c>
      <c r="AY148" t="s">
        <v>1394</v>
      </c>
      <c r="AZ148">
        <v>380.2</v>
      </c>
      <c r="BA148">
        <v>36</v>
      </c>
      <c r="BB148">
        <v>5.7</v>
      </c>
      <c r="BC148">
        <v>6.3</v>
      </c>
      <c r="BD148">
        <v>5.7</v>
      </c>
      <c r="BE148">
        <v>6.3</v>
      </c>
    </row>
    <row r="149" spans="1:57" x14ac:dyDescent="0.25">
      <c r="A149" t="s">
        <v>678</v>
      </c>
      <c r="C149" t="s">
        <v>62</v>
      </c>
      <c r="D149">
        <v>1</v>
      </c>
      <c r="E149" t="s">
        <v>40</v>
      </c>
      <c r="F149" t="s">
        <v>60</v>
      </c>
      <c r="G149">
        <v>1468</v>
      </c>
      <c r="H149">
        <v>0</v>
      </c>
      <c r="I149">
        <v>1</v>
      </c>
      <c r="J149">
        <v>1</v>
      </c>
      <c r="K149" t="s">
        <v>1330</v>
      </c>
      <c r="L149" t="s">
        <v>1079</v>
      </c>
      <c r="M149" t="s">
        <v>1079</v>
      </c>
      <c r="P149" t="s">
        <v>102</v>
      </c>
      <c r="Q149">
        <v>4.4000000000000004</v>
      </c>
      <c r="R149">
        <v>7.2050000000000001</v>
      </c>
      <c r="S149">
        <v>10.5</v>
      </c>
      <c r="T149">
        <v>24.4</v>
      </c>
      <c r="U149">
        <v>4.4000000000000004</v>
      </c>
      <c r="V149">
        <v>105.4</v>
      </c>
      <c r="W149">
        <v>101.1</v>
      </c>
      <c r="X149">
        <v>3.1</v>
      </c>
      <c r="Y149">
        <v>-5.2</v>
      </c>
      <c r="Z149">
        <v>1</v>
      </c>
      <c r="AB149">
        <v>2.8</v>
      </c>
      <c r="AC149">
        <v>163</v>
      </c>
      <c r="AD149">
        <v>1.1599999999999999</v>
      </c>
      <c r="AE149">
        <v>117</v>
      </c>
      <c r="AF149" t="s">
        <v>628</v>
      </c>
      <c r="AG149">
        <v>1.2</v>
      </c>
      <c r="AK149">
        <v>3.2</v>
      </c>
      <c r="AM149">
        <v>100.7</v>
      </c>
      <c r="AN149">
        <v>14.9</v>
      </c>
      <c r="AO149">
        <v>17.8</v>
      </c>
      <c r="AP149">
        <v>9.5</v>
      </c>
      <c r="AQ149">
        <v>2.6</v>
      </c>
      <c r="AR149">
        <v>1.04</v>
      </c>
      <c r="AS149">
        <v>31.2</v>
      </c>
      <c r="AU149">
        <v>75.2</v>
      </c>
      <c r="AV149">
        <v>21.8</v>
      </c>
      <c r="AW149">
        <v>7427</v>
      </c>
      <c r="AX149" t="s">
        <v>1331</v>
      </c>
      <c r="AY149" t="s">
        <v>1332</v>
      </c>
      <c r="AZ149">
        <v>341.5</v>
      </c>
      <c r="BA149">
        <v>62.4</v>
      </c>
      <c r="BB149">
        <v>2.6</v>
      </c>
      <c r="BC149">
        <v>3.2</v>
      </c>
    </row>
    <row r="150" spans="1:57" x14ac:dyDescent="0.25">
      <c r="A150" t="s">
        <v>799</v>
      </c>
      <c r="C150" t="s">
        <v>64</v>
      </c>
      <c r="D150">
        <v>1</v>
      </c>
      <c r="E150" t="s">
        <v>146</v>
      </c>
      <c r="F150" t="s">
        <v>60</v>
      </c>
      <c r="G150">
        <v>1314.8</v>
      </c>
      <c r="H150">
        <v>0</v>
      </c>
      <c r="I150">
        <v>1</v>
      </c>
      <c r="J150">
        <v>0</v>
      </c>
      <c r="K150" t="s">
        <v>1405</v>
      </c>
      <c r="L150" t="s">
        <v>1079</v>
      </c>
      <c r="M150" t="s">
        <v>1079</v>
      </c>
      <c r="P150" t="s">
        <v>103</v>
      </c>
      <c r="Q150">
        <v>5.6</v>
      </c>
      <c r="R150">
        <v>7.5629999999999997</v>
      </c>
      <c r="S150">
        <v>5.45</v>
      </c>
      <c r="T150">
        <v>35</v>
      </c>
      <c r="U150">
        <v>5.6</v>
      </c>
      <c r="V150">
        <v>101.1</v>
      </c>
      <c r="W150">
        <v>100.4</v>
      </c>
      <c r="X150">
        <v>0.6</v>
      </c>
      <c r="Y150">
        <v>-1.1000000000000001</v>
      </c>
      <c r="Z150">
        <v>0.1</v>
      </c>
      <c r="AB150">
        <v>3.6</v>
      </c>
      <c r="AC150">
        <v>169</v>
      </c>
      <c r="AD150">
        <v>1.29</v>
      </c>
      <c r="AE150">
        <v>114</v>
      </c>
      <c r="AF150" t="s">
        <v>1274</v>
      </c>
      <c r="AG150">
        <v>1.3</v>
      </c>
      <c r="AI150">
        <v>13.2</v>
      </c>
      <c r="AJ150">
        <v>2.4</v>
      </c>
      <c r="AK150">
        <v>14.6</v>
      </c>
      <c r="AL150">
        <v>37.200000000000003</v>
      </c>
      <c r="AM150">
        <v>100.7</v>
      </c>
      <c r="AN150">
        <v>18.2</v>
      </c>
      <c r="AO150">
        <v>21.7</v>
      </c>
      <c r="AP150">
        <v>12.4</v>
      </c>
      <c r="AQ150">
        <v>13.4</v>
      </c>
      <c r="AR150">
        <v>1.41</v>
      </c>
      <c r="AS150">
        <v>36.799999999999997</v>
      </c>
      <c r="AT150">
        <v>76.5</v>
      </c>
      <c r="AU150">
        <v>85.2</v>
      </c>
      <c r="AV150">
        <v>27.5</v>
      </c>
      <c r="AW150">
        <v>7570</v>
      </c>
      <c r="AX150" t="s">
        <v>1000</v>
      </c>
      <c r="AY150" t="s">
        <v>1406</v>
      </c>
      <c r="AZ150">
        <v>340</v>
      </c>
      <c r="BA150">
        <v>27.4</v>
      </c>
      <c r="BB150">
        <v>13.4</v>
      </c>
      <c r="BC150">
        <v>14.6</v>
      </c>
      <c r="BD150">
        <v>13.4</v>
      </c>
      <c r="BE150">
        <v>14.6</v>
      </c>
    </row>
    <row r="151" spans="1:57" x14ac:dyDescent="0.25">
      <c r="A151" t="s">
        <v>739</v>
      </c>
      <c r="C151" t="s">
        <v>66</v>
      </c>
      <c r="D151">
        <v>1</v>
      </c>
      <c r="E151" t="s">
        <v>142</v>
      </c>
      <c r="F151" t="s">
        <v>60</v>
      </c>
      <c r="G151">
        <v>981</v>
      </c>
      <c r="H151">
        <v>1</v>
      </c>
      <c r="I151">
        <v>1</v>
      </c>
      <c r="J151">
        <v>0</v>
      </c>
      <c r="K151" t="s">
        <v>1375</v>
      </c>
      <c r="L151" t="s">
        <v>1079</v>
      </c>
      <c r="M151" t="s">
        <v>1079</v>
      </c>
      <c r="P151" t="s">
        <v>104</v>
      </c>
      <c r="Q151">
        <v>6</v>
      </c>
      <c r="R151">
        <v>7.0490000000000004</v>
      </c>
      <c r="S151">
        <v>12.4</v>
      </c>
      <c r="T151">
        <v>2.5499999999999998</v>
      </c>
      <c r="U151">
        <v>6</v>
      </c>
      <c r="V151">
        <v>29.3</v>
      </c>
      <c r="W151">
        <v>28.6</v>
      </c>
      <c r="X151">
        <v>1.6</v>
      </c>
      <c r="Y151">
        <v>68.900000000000006</v>
      </c>
      <c r="Z151">
        <v>0.9</v>
      </c>
      <c r="AB151">
        <v>4.4000000000000004</v>
      </c>
      <c r="AC151">
        <v>157</v>
      </c>
      <c r="AD151">
        <v>1.07</v>
      </c>
      <c r="AE151">
        <v>106</v>
      </c>
      <c r="AF151" t="s">
        <v>736</v>
      </c>
      <c r="AG151">
        <v>7.8</v>
      </c>
      <c r="AI151">
        <v>3.9</v>
      </c>
      <c r="AJ151">
        <v>3.65</v>
      </c>
      <c r="AK151">
        <v>-4.8</v>
      </c>
      <c r="AL151">
        <v>18.7</v>
      </c>
      <c r="AM151">
        <v>100.7</v>
      </c>
      <c r="AN151">
        <v>25.6</v>
      </c>
      <c r="AO151">
        <v>30</v>
      </c>
      <c r="AP151">
        <v>13</v>
      </c>
      <c r="AQ151">
        <v>-5.8</v>
      </c>
      <c r="AR151">
        <v>0.88</v>
      </c>
      <c r="AS151">
        <v>25.7</v>
      </c>
      <c r="AT151">
        <v>59.5</v>
      </c>
      <c r="AU151">
        <v>63.9</v>
      </c>
      <c r="AV151">
        <v>29.4</v>
      </c>
      <c r="AW151">
        <v>7287</v>
      </c>
      <c r="AX151" t="s">
        <v>1376</v>
      </c>
      <c r="AY151" t="s">
        <v>630</v>
      </c>
      <c r="AZ151">
        <v>320.5</v>
      </c>
      <c r="BA151">
        <v>89.4</v>
      </c>
      <c r="BB151">
        <v>-5.8</v>
      </c>
      <c r="BC151">
        <v>-4.8</v>
      </c>
      <c r="BD151">
        <v>-7.1</v>
      </c>
      <c r="BE151">
        <v>-5.5</v>
      </c>
    </row>
    <row r="152" spans="1:57" x14ac:dyDescent="0.25">
      <c r="A152" t="s">
        <v>775</v>
      </c>
      <c r="B152">
        <v>104</v>
      </c>
      <c r="C152" t="s">
        <v>68</v>
      </c>
      <c r="D152">
        <v>1</v>
      </c>
      <c r="E152" t="s">
        <v>142</v>
      </c>
      <c r="F152" t="s">
        <v>49</v>
      </c>
      <c r="G152">
        <v>988.2</v>
      </c>
      <c r="H152">
        <v>1</v>
      </c>
      <c r="I152">
        <v>1</v>
      </c>
      <c r="J152">
        <v>0</v>
      </c>
      <c r="K152" t="s">
        <v>1383</v>
      </c>
      <c r="L152" t="s">
        <v>1079</v>
      </c>
      <c r="M152" t="s">
        <v>1079</v>
      </c>
      <c r="P152" t="s">
        <v>105</v>
      </c>
      <c r="Q152">
        <v>3.3</v>
      </c>
      <c r="R152">
        <v>7.5179999999999998</v>
      </c>
      <c r="S152">
        <v>5.22</v>
      </c>
      <c r="T152">
        <v>8.43</v>
      </c>
      <c r="U152">
        <v>3.3</v>
      </c>
      <c r="V152">
        <v>103</v>
      </c>
      <c r="W152">
        <v>98.5</v>
      </c>
      <c r="X152">
        <v>3.5</v>
      </c>
      <c r="Y152">
        <v>-2.9</v>
      </c>
      <c r="Z152">
        <v>0.9</v>
      </c>
      <c r="AB152">
        <v>4.3</v>
      </c>
      <c r="AC152">
        <v>141</v>
      </c>
      <c r="AD152">
        <v>1.43</v>
      </c>
      <c r="AE152">
        <v>99</v>
      </c>
      <c r="AF152" t="s">
        <v>749</v>
      </c>
      <c r="AG152">
        <v>1.7</v>
      </c>
      <c r="AK152">
        <v>8.9</v>
      </c>
      <c r="AM152">
        <v>100.8</v>
      </c>
      <c r="AN152">
        <v>10.1</v>
      </c>
      <c r="AO152">
        <v>14.4</v>
      </c>
      <c r="AP152">
        <v>7.1</v>
      </c>
      <c r="AQ152">
        <v>8.1999999999999993</v>
      </c>
      <c r="AR152">
        <v>1.53</v>
      </c>
      <c r="AS152">
        <v>31.8</v>
      </c>
      <c r="AU152">
        <v>74</v>
      </c>
      <c r="AV152">
        <v>16.399999999999999</v>
      </c>
      <c r="AW152">
        <v>7511</v>
      </c>
      <c r="AX152" t="s">
        <v>1384</v>
      </c>
      <c r="AY152" t="s">
        <v>1385</v>
      </c>
      <c r="AZ152">
        <v>284.10000000000002</v>
      </c>
      <c r="BA152">
        <v>30.3</v>
      </c>
      <c r="BB152">
        <v>8.1999999999999993</v>
      </c>
      <c r="BC152">
        <v>8.9</v>
      </c>
    </row>
    <row r="153" spans="1:57" x14ac:dyDescent="0.25">
      <c r="A153" t="s">
        <v>716</v>
      </c>
      <c r="B153">
        <v>112</v>
      </c>
      <c r="C153" t="s">
        <v>70</v>
      </c>
      <c r="D153">
        <v>1</v>
      </c>
      <c r="E153" t="s">
        <v>71</v>
      </c>
      <c r="F153" t="s">
        <v>49</v>
      </c>
      <c r="G153">
        <v>1004</v>
      </c>
      <c r="H153">
        <v>0</v>
      </c>
      <c r="I153">
        <v>0</v>
      </c>
      <c r="J153">
        <v>0</v>
      </c>
      <c r="K153" t="s">
        <v>1359</v>
      </c>
      <c r="L153" t="s">
        <v>1079</v>
      </c>
      <c r="M153" t="s">
        <v>1079</v>
      </c>
      <c r="P153" t="s">
        <v>106</v>
      </c>
      <c r="Q153">
        <v>6</v>
      </c>
      <c r="R153">
        <v>7.5149999999999997</v>
      </c>
      <c r="S153">
        <v>5.75</v>
      </c>
      <c r="T153">
        <v>22.6</v>
      </c>
      <c r="U153">
        <v>6</v>
      </c>
      <c r="V153">
        <v>101.1</v>
      </c>
      <c r="W153">
        <v>100.5</v>
      </c>
      <c r="X153">
        <v>0.6</v>
      </c>
      <c r="Y153">
        <v>-1.1000000000000001</v>
      </c>
      <c r="Z153">
        <v>0</v>
      </c>
      <c r="AB153">
        <v>4.2</v>
      </c>
      <c r="AC153">
        <v>160</v>
      </c>
      <c r="AD153">
        <v>1.03</v>
      </c>
      <c r="AE153">
        <v>109</v>
      </c>
      <c r="AF153" t="s">
        <v>848</v>
      </c>
      <c r="AG153">
        <v>1.2</v>
      </c>
      <c r="AI153">
        <v>13.9</v>
      </c>
      <c r="AJ153">
        <v>2.56</v>
      </c>
      <c r="AK153">
        <v>11.8</v>
      </c>
      <c r="AL153">
        <v>34.5</v>
      </c>
      <c r="AM153">
        <v>100.6</v>
      </c>
      <c r="AN153">
        <v>16.399999999999999</v>
      </c>
      <c r="AO153">
        <v>20.6</v>
      </c>
      <c r="AP153">
        <v>13.4</v>
      </c>
      <c r="AQ153">
        <v>10.7</v>
      </c>
      <c r="AR153">
        <v>1.0900000000000001</v>
      </c>
      <c r="AS153">
        <v>34.700000000000003</v>
      </c>
      <c r="AT153">
        <v>72</v>
      </c>
      <c r="AU153">
        <v>80.8</v>
      </c>
      <c r="AV153">
        <v>29.6</v>
      </c>
      <c r="AW153">
        <v>7540</v>
      </c>
      <c r="AX153" t="s">
        <v>648</v>
      </c>
      <c r="AY153" t="s">
        <v>1360</v>
      </c>
      <c r="AZ153">
        <v>324.39999999999998</v>
      </c>
      <c r="BA153">
        <v>30.6</v>
      </c>
      <c r="BB153">
        <v>10.7</v>
      </c>
      <c r="BC153">
        <v>11.8</v>
      </c>
      <c r="BD153">
        <v>10.7</v>
      </c>
      <c r="BE153">
        <v>11.8</v>
      </c>
    </row>
    <row r="154" spans="1:57" x14ac:dyDescent="0.25">
      <c r="A154" t="s">
        <v>744</v>
      </c>
      <c r="B154">
        <v>117</v>
      </c>
      <c r="C154" t="s">
        <v>36</v>
      </c>
      <c r="D154">
        <v>2</v>
      </c>
      <c r="E154" t="s">
        <v>142</v>
      </c>
      <c r="F154" t="s">
        <v>383</v>
      </c>
      <c r="G154">
        <v>1210</v>
      </c>
      <c r="H154">
        <v>1</v>
      </c>
      <c r="I154">
        <v>1</v>
      </c>
      <c r="J154">
        <v>0</v>
      </c>
      <c r="K154" t="s">
        <v>258</v>
      </c>
      <c r="L154" t="s">
        <v>1079</v>
      </c>
      <c r="M154" t="s">
        <v>1079</v>
      </c>
      <c r="P154" t="s">
        <v>317</v>
      </c>
      <c r="Q154">
        <v>5.7</v>
      </c>
      <c r="R154">
        <v>7.4480000000000004</v>
      </c>
      <c r="S154">
        <v>6.43</v>
      </c>
      <c r="T154">
        <v>4.54</v>
      </c>
      <c r="U154">
        <v>5.7</v>
      </c>
      <c r="V154">
        <v>80</v>
      </c>
      <c r="W154">
        <v>78.900000000000006</v>
      </c>
      <c r="X154">
        <v>1.3</v>
      </c>
      <c r="Y154">
        <v>19.7</v>
      </c>
      <c r="Z154">
        <v>0.1</v>
      </c>
      <c r="AB154">
        <v>4.5</v>
      </c>
      <c r="AC154">
        <v>148</v>
      </c>
      <c r="AD154">
        <v>1.35</v>
      </c>
      <c r="AE154">
        <v>106</v>
      </c>
      <c r="AF154" t="s">
        <v>1027</v>
      </c>
      <c r="AG154">
        <v>1.4</v>
      </c>
      <c r="AI154">
        <v>10.199999999999999</v>
      </c>
      <c r="AJ154">
        <v>2.67</v>
      </c>
      <c r="AK154">
        <v>9.3000000000000007</v>
      </c>
      <c r="AL154">
        <v>31.8</v>
      </c>
      <c r="AM154">
        <v>100.2</v>
      </c>
      <c r="AN154">
        <v>8.6999999999999993</v>
      </c>
      <c r="AO154">
        <v>13.2</v>
      </c>
      <c r="AP154">
        <v>12.6</v>
      </c>
      <c r="AQ154">
        <v>8.3000000000000007</v>
      </c>
      <c r="AR154">
        <v>1.39</v>
      </c>
      <c r="AS154">
        <v>33.299999999999997</v>
      </c>
      <c r="AT154">
        <v>70.400000000000006</v>
      </c>
      <c r="AU154">
        <v>78</v>
      </c>
      <c r="AV154">
        <v>28.2</v>
      </c>
      <c r="AW154">
        <v>7510</v>
      </c>
      <c r="AX154" t="s">
        <v>1398</v>
      </c>
      <c r="AY154" t="s">
        <v>1399</v>
      </c>
      <c r="AZ154">
        <v>298.89999999999998</v>
      </c>
      <c r="BA154">
        <v>35.700000000000003</v>
      </c>
      <c r="BB154">
        <v>8.3000000000000007</v>
      </c>
      <c r="BC154">
        <v>9.3000000000000007</v>
      </c>
      <c r="BD154">
        <v>7.9</v>
      </c>
      <c r="BE154">
        <v>9.1</v>
      </c>
    </row>
    <row r="155" spans="1:57" x14ac:dyDescent="0.25">
      <c r="A155" t="s">
        <v>782</v>
      </c>
      <c r="B155">
        <v>123</v>
      </c>
      <c r="C155" t="s">
        <v>39</v>
      </c>
      <c r="D155">
        <v>2</v>
      </c>
      <c r="E155" t="s">
        <v>142</v>
      </c>
      <c r="F155" t="s">
        <v>382</v>
      </c>
      <c r="G155">
        <v>1015</v>
      </c>
      <c r="H155">
        <v>1</v>
      </c>
      <c r="I155">
        <v>1</v>
      </c>
      <c r="J155">
        <v>0</v>
      </c>
      <c r="K155" t="s">
        <v>248</v>
      </c>
      <c r="L155" t="s">
        <v>1079</v>
      </c>
      <c r="M155" t="s">
        <v>1079</v>
      </c>
      <c r="P155" t="s">
        <v>91</v>
      </c>
      <c r="Q155">
        <v>5.8</v>
      </c>
      <c r="R155">
        <v>7.5140000000000002</v>
      </c>
      <c r="S155">
        <v>5.0999999999999996</v>
      </c>
      <c r="T155">
        <v>8.61</v>
      </c>
      <c r="U155">
        <v>5.8</v>
      </c>
      <c r="V155">
        <v>97.8</v>
      </c>
      <c r="W155">
        <v>96.7</v>
      </c>
      <c r="X155">
        <v>1.2</v>
      </c>
      <c r="Y155">
        <v>2.2000000000000002</v>
      </c>
      <c r="Z155">
        <v>-0.1</v>
      </c>
      <c r="AB155">
        <v>3.8</v>
      </c>
      <c r="AC155">
        <v>172</v>
      </c>
      <c r="AD155">
        <v>0.83</v>
      </c>
      <c r="AE155">
        <v>118</v>
      </c>
      <c r="AF155" t="s">
        <v>970</v>
      </c>
      <c r="AG155">
        <v>1.7</v>
      </c>
      <c r="AI155">
        <v>12.8</v>
      </c>
      <c r="AJ155">
        <v>2.4900000000000002</v>
      </c>
      <c r="AK155">
        <v>7.8</v>
      </c>
      <c r="AL155">
        <v>31.1</v>
      </c>
      <c r="AM155">
        <v>100.3</v>
      </c>
      <c r="AN155">
        <v>23</v>
      </c>
      <c r="AO155">
        <v>26.8</v>
      </c>
      <c r="AP155">
        <v>12.8</v>
      </c>
      <c r="AQ155">
        <v>7.3</v>
      </c>
      <c r="AR155">
        <v>0.89</v>
      </c>
      <c r="AS155">
        <v>30.8</v>
      </c>
      <c r="AT155">
        <v>64.099999999999994</v>
      </c>
      <c r="AU155">
        <v>71.599999999999994</v>
      </c>
      <c r="AV155">
        <v>28.6</v>
      </c>
      <c r="AW155">
        <v>7500</v>
      </c>
      <c r="AX155" t="s">
        <v>1363</v>
      </c>
      <c r="AY155" t="s">
        <v>1388</v>
      </c>
      <c r="AZ155">
        <v>346.7</v>
      </c>
      <c r="BA155">
        <v>30.6</v>
      </c>
      <c r="BB155">
        <v>7.3</v>
      </c>
      <c r="BC155">
        <v>7.8</v>
      </c>
      <c r="BD155">
        <v>7.3</v>
      </c>
      <c r="BE155">
        <v>7.8</v>
      </c>
    </row>
    <row r="156" spans="1:57" x14ac:dyDescent="0.25">
      <c r="A156" t="s">
        <v>981</v>
      </c>
      <c r="B156">
        <v>126</v>
      </c>
      <c r="C156" t="s">
        <v>43</v>
      </c>
      <c r="D156">
        <v>2</v>
      </c>
      <c r="E156" t="s">
        <v>142</v>
      </c>
      <c r="F156" t="s">
        <v>382</v>
      </c>
      <c r="G156">
        <v>1210</v>
      </c>
      <c r="H156">
        <v>1</v>
      </c>
      <c r="I156">
        <v>1</v>
      </c>
      <c r="J156">
        <v>0</v>
      </c>
      <c r="K156" t="s">
        <v>242</v>
      </c>
      <c r="L156" t="s">
        <v>1079</v>
      </c>
      <c r="M156" t="s">
        <v>1079</v>
      </c>
      <c r="P156" t="s">
        <v>92</v>
      </c>
      <c r="Q156">
        <v>7</v>
      </c>
      <c r="R156">
        <v>7.4779999999999998</v>
      </c>
      <c r="S156">
        <v>5.4</v>
      </c>
      <c r="T156">
        <v>7.82</v>
      </c>
      <c r="U156">
        <v>7</v>
      </c>
      <c r="V156">
        <v>96.3</v>
      </c>
      <c r="W156">
        <v>94.9</v>
      </c>
      <c r="X156">
        <v>1.5</v>
      </c>
      <c r="Y156">
        <v>3.6</v>
      </c>
      <c r="Z156">
        <v>0</v>
      </c>
      <c r="AB156">
        <v>4.5</v>
      </c>
      <c r="AC156">
        <v>144</v>
      </c>
      <c r="AD156">
        <v>1.38</v>
      </c>
      <c r="AE156">
        <v>101</v>
      </c>
      <c r="AF156" t="s">
        <v>772</v>
      </c>
      <c r="AG156">
        <v>1.9</v>
      </c>
      <c r="AI156">
        <v>15</v>
      </c>
      <c r="AJ156">
        <v>2.2000000000000002</v>
      </c>
      <c r="AK156">
        <v>6.4</v>
      </c>
      <c r="AL156">
        <v>29.8</v>
      </c>
      <c r="AM156">
        <v>100.3</v>
      </c>
      <c r="AN156">
        <v>12.9</v>
      </c>
      <c r="AO156">
        <v>17.5</v>
      </c>
      <c r="AP156">
        <v>15.4</v>
      </c>
      <c r="AQ156">
        <v>5.9</v>
      </c>
      <c r="AR156">
        <v>1.44</v>
      </c>
      <c r="AS156">
        <v>30</v>
      </c>
      <c r="AT156">
        <v>61.3</v>
      </c>
      <c r="AU156">
        <v>70</v>
      </c>
      <c r="AV156">
        <v>34.5</v>
      </c>
      <c r="AW156">
        <v>7482</v>
      </c>
      <c r="AX156" t="s">
        <v>1325</v>
      </c>
      <c r="AY156" t="s">
        <v>1382</v>
      </c>
      <c r="AZ156">
        <v>292</v>
      </c>
      <c r="BA156">
        <v>33.299999999999997</v>
      </c>
      <c r="BB156">
        <v>5.9</v>
      </c>
      <c r="BC156">
        <v>6.4</v>
      </c>
      <c r="BD156">
        <v>5.9</v>
      </c>
      <c r="BE156">
        <v>6.4</v>
      </c>
    </row>
    <row r="157" spans="1:57" x14ac:dyDescent="0.25">
      <c r="A157" t="s">
        <v>810</v>
      </c>
      <c r="B157">
        <v>136</v>
      </c>
      <c r="C157" t="s">
        <v>45</v>
      </c>
      <c r="D157">
        <v>2</v>
      </c>
      <c r="E157" t="s">
        <v>146</v>
      </c>
      <c r="F157" t="s">
        <v>382</v>
      </c>
      <c r="G157">
        <v>1041</v>
      </c>
      <c r="H157">
        <v>0</v>
      </c>
      <c r="I157">
        <v>1</v>
      </c>
      <c r="J157">
        <v>0</v>
      </c>
      <c r="K157" t="s">
        <v>270</v>
      </c>
      <c r="L157" t="s">
        <v>1079</v>
      </c>
      <c r="M157" t="s">
        <v>1079</v>
      </c>
      <c r="P157" t="s">
        <v>325</v>
      </c>
      <c r="Q157">
        <v>3.8</v>
      </c>
      <c r="R157">
        <v>7.5819999999999999</v>
      </c>
      <c r="S157">
        <v>4.38</v>
      </c>
      <c r="T157">
        <v>13.4</v>
      </c>
      <c r="U157">
        <v>3.8</v>
      </c>
      <c r="V157">
        <v>104.7</v>
      </c>
      <c r="W157">
        <v>100.8</v>
      </c>
      <c r="X157">
        <v>3.1</v>
      </c>
      <c r="Y157">
        <v>-4.5</v>
      </c>
      <c r="Z157">
        <v>0.6</v>
      </c>
      <c r="AB157">
        <v>4</v>
      </c>
      <c r="AC157">
        <v>183</v>
      </c>
      <c r="AD157">
        <v>0.59</v>
      </c>
      <c r="AE157">
        <v>132</v>
      </c>
      <c r="AF157" t="s">
        <v>728</v>
      </c>
      <c r="AG157">
        <v>1.2</v>
      </c>
      <c r="AK157">
        <v>9</v>
      </c>
      <c r="AM157">
        <v>100.2</v>
      </c>
      <c r="AN157">
        <v>19.600000000000001</v>
      </c>
      <c r="AO157">
        <v>23.6</v>
      </c>
      <c r="AP157">
        <v>8.1999999999999993</v>
      </c>
      <c r="AQ157">
        <v>8.3000000000000007</v>
      </c>
      <c r="AR157">
        <v>0.65</v>
      </c>
      <c r="AS157">
        <v>30.9</v>
      </c>
      <c r="AU157">
        <v>71.5</v>
      </c>
      <c r="AV157">
        <v>18.8</v>
      </c>
      <c r="AW157">
        <v>7513</v>
      </c>
      <c r="AX157" t="s">
        <v>1425</v>
      </c>
      <c r="AY157" t="s">
        <v>1426</v>
      </c>
      <c r="AZ157">
        <v>368.6</v>
      </c>
      <c r="BA157">
        <v>26.2</v>
      </c>
      <c r="BB157">
        <v>8.3000000000000007</v>
      </c>
      <c r="BC157">
        <v>9</v>
      </c>
    </row>
    <row r="158" spans="1:57" x14ac:dyDescent="0.25">
      <c r="A158" t="s">
        <v>832</v>
      </c>
      <c r="B158">
        <v>133</v>
      </c>
      <c r="C158" t="s">
        <v>47</v>
      </c>
      <c r="D158">
        <v>2</v>
      </c>
      <c r="E158" t="s">
        <v>146</v>
      </c>
      <c r="F158" t="s">
        <v>382</v>
      </c>
      <c r="G158">
        <v>1260.5999999999999</v>
      </c>
      <c r="H158">
        <v>0</v>
      </c>
      <c r="I158">
        <v>1</v>
      </c>
      <c r="J158">
        <v>0</v>
      </c>
      <c r="K158" t="s">
        <v>280</v>
      </c>
      <c r="L158" t="s">
        <v>1079</v>
      </c>
      <c r="M158" t="s">
        <v>1079</v>
      </c>
      <c r="P158" t="s">
        <v>93</v>
      </c>
      <c r="Q158">
        <v>6.8</v>
      </c>
      <c r="R158">
        <v>7.5339999999999998</v>
      </c>
      <c r="S158">
        <v>5.05</v>
      </c>
      <c r="T158">
        <v>25.8</v>
      </c>
      <c r="U158">
        <v>6.8</v>
      </c>
      <c r="V158">
        <v>100.8</v>
      </c>
      <c r="W158">
        <v>100.2</v>
      </c>
      <c r="X158">
        <v>0.5</v>
      </c>
      <c r="Y158">
        <v>-0.8</v>
      </c>
      <c r="Z158">
        <v>0.1</v>
      </c>
      <c r="AB158">
        <v>4.0999999999999996</v>
      </c>
      <c r="AC158">
        <v>154</v>
      </c>
      <c r="AD158">
        <v>1.02</v>
      </c>
      <c r="AE158">
        <v>115</v>
      </c>
      <c r="AF158" t="s">
        <v>966</v>
      </c>
      <c r="AG158">
        <v>1.1000000000000001</v>
      </c>
      <c r="AI158">
        <v>15.8</v>
      </c>
      <c r="AJ158">
        <v>2.4300000000000002</v>
      </c>
      <c r="AK158">
        <v>9.3000000000000007</v>
      </c>
      <c r="AL158">
        <v>32.5</v>
      </c>
      <c r="AM158">
        <v>100.2</v>
      </c>
      <c r="AN158">
        <v>6.7</v>
      </c>
      <c r="AO158">
        <v>10.8</v>
      </c>
      <c r="AP158">
        <v>15.1</v>
      </c>
      <c r="AQ158">
        <v>8.6999999999999993</v>
      </c>
      <c r="AR158">
        <v>1.1000000000000001</v>
      </c>
      <c r="AS158">
        <v>32</v>
      </c>
      <c r="AT158">
        <v>65</v>
      </c>
      <c r="AU158">
        <v>74.2</v>
      </c>
      <c r="AV158">
        <v>33.6</v>
      </c>
      <c r="AW158">
        <v>7517</v>
      </c>
      <c r="AX158" t="s">
        <v>1279</v>
      </c>
      <c r="AY158" t="s">
        <v>1413</v>
      </c>
      <c r="AZ158">
        <v>310.5</v>
      </c>
      <c r="BA158">
        <v>29.2</v>
      </c>
      <c r="BB158">
        <v>8.6999999999999993</v>
      </c>
      <c r="BC158">
        <v>9.3000000000000007</v>
      </c>
      <c r="BD158">
        <v>8.6999999999999993</v>
      </c>
      <c r="BE158">
        <v>9.3000000000000007</v>
      </c>
    </row>
    <row r="159" spans="1:57" x14ac:dyDescent="0.25">
      <c r="A159" t="s">
        <v>655</v>
      </c>
      <c r="B159">
        <v>119</v>
      </c>
      <c r="C159" t="s">
        <v>49</v>
      </c>
      <c r="D159">
        <v>2</v>
      </c>
      <c r="E159" t="s">
        <v>40</v>
      </c>
      <c r="F159" t="s">
        <v>383</v>
      </c>
      <c r="G159">
        <v>1189</v>
      </c>
      <c r="H159">
        <v>0</v>
      </c>
      <c r="I159">
        <v>1</v>
      </c>
      <c r="J159">
        <v>1</v>
      </c>
      <c r="K159" t="s">
        <v>252</v>
      </c>
      <c r="L159" t="s">
        <v>1079</v>
      </c>
      <c r="M159" t="s">
        <v>1079</v>
      </c>
      <c r="P159" t="s">
        <v>94</v>
      </c>
      <c r="Q159">
        <v>6.3</v>
      </c>
      <c r="R159">
        <v>7.4619999999999997</v>
      </c>
      <c r="S159">
        <v>5.26</v>
      </c>
      <c r="T159">
        <v>4.4400000000000004</v>
      </c>
      <c r="U159">
        <v>6.3</v>
      </c>
      <c r="V159">
        <v>78.7</v>
      </c>
      <c r="W159">
        <v>77.599999999999994</v>
      </c>
      <c r="X159">
        <v>1.3</v>
      </c>
      <c r="Y159">
        <v>21</v>
      </c>
      <c r="Z159">
        <v>0.1</v>
      </c>
      <c r="AB159">
        <v>4</v>
      </c>
      <c r="AC159">
        <v>248</v>
      </c>
      <c r="AD159">
        <v>0.48</v>
      </c>
      <c r="AE159">
        <v>203</v>
      </c>
      <c r="AF159" t="s">
        <v>1348</v>
      </c>
      <c r="AG159">
        <v>2.2999999999999998</v>
      </c>
      <c r="AI159">
        <v>11.1</v>
      </c>
      <c r="AJ159">
        <v>2.69</v>
      </c>
      <c r="AK159">
        <v>4.4000000000000004</v>
      </c>
      <c r="AL159">
        <v>27.8</v>
      </c>
      <c r="AM159">
        <v>100.3</v>
      </c>
      <c r="AN159">
        <v>17.3</v>
      </c>
      <c r="AO159">
        <v>21.3</v>
      </c>
      <c r="AP159">
        <v>14</v>
      </c>
      <c r="AQ159">
        <v>4.0999999999999996</v>
      </c>
      <c r="AR159">
        <v>0.5</v>
      </c>
      <c r="AS159">
        <v>28.2</v>
      </c>
      <c r="AT159">
        <v>58.8</v>
      </c>
      <c r="AU159">
        <v>65.900000000000006</v>
      </c>
      <c r="AV159">
        <v>31.3</v>
      </c>
      <c r="AW159">
        <v>7458</v>
      </c>
      <c r="AX159" t="s">
        <v>1349</v>
      </c>
      <c r="AY159" t="s">
        <v>1350</v>
      </c>
      <c r="AZ159">
        <v>513.20000000000005</v>
      </c>
      <c r="BA159">
        <v>34.5</v>
      </c>
      <c r="BB159">
        <v>4.0999999999999996</v>
      </c>
      <c r="BC159">
        <v>4.4000000000000004</v>
      </c>
      <c r="BD159">
        <v>3.7</v>
      </c>
      <c r="BE159">
        <v>4.2</v>
      </c>
    </row>
    <row r="160" spans="1:57" x14ac:dyDescent="0.25">
      <c r="A160" t="s">
        <v>601</v>
      </c>
      <c r="B160">
        <v>135</v>
      </c>
      <c r="C160" t="s">
        <v>51</v>
      </c>
      <c r="D160">
        <v>2</v>
      </c>
      <c r="E160" t="s">
        <v>54</v>
      </c>
      <c r="F160" t="s">
        <v>382</v>
      </c>
      <c r="G160">
        <v>1387</v>
      </c>
      <c r="H160">
        <v>0</v>
      </c>
      <c r="I160">
        <v>0</v>
      </c>
      <c r="J160">
        <v>1</v>
      </c>
      <c r="K160" t="s">
        <v>274</v>
      </c>
      <c r="L160" t="s">
        <v>1079</v>
      </c>
      <c r="M160" t="s">
        <v>1079</v>
      </c>
      <c r="P160" t="s">
        <v>95</v>
      </c>
      <c r="Q160">
        <v>6.5</v>
      </c>
      <c r="R160">
        <v>7.5170000000000003</v>
      </c>
      <c r="S160">
        <v>4.7699999999999996</v>
      </c>
      <c r="T160">
        <v>7.9</v>
      </c>
      <c r="U160">
        <v>6.5</v>
      </c>
      <c r="V160">
        <v>96.9</v>
      </c>
      <c r="W160">
        <v>95.9</v>
      </c>
      <c r="X160">
        <v>1</v>
      </c>
      <c r="Y160">
        <v>3.1</v>
      </c>
      <c r="Z160">
        <v>0</v>
      </c>
      <c r="AB160">
        <v>3.4</v>
      </c>
      <c r="AC160">
        <v>163</v>
      </c>
      <c r="AD160">
        <v>0.92</v>
      </c>
      <c r="AE160">
        <v>120</v>
      </c>
      <c r="AF160" t="s">
        <v>1321</v>
      </c>
      <c r="AG160">
        <v>2.1</v>
      </c>
      <c r="AI160">
        <v>14.1</v>
      </c>
      <c r="AJ160">
        <v>2.0299999999999998</v>
      </c>
      <c r="AK160">
        <v>6.1</v>
      </c>
      <c r="AL160">
        <v>29.7</v>
      </c>
      <c r="AM160">
        <v>100.2</v>
      </c>
      <c r="AN160">
        <v>13.9</v>
      </c>
      <c r="AO160">
        <v>17.3</v>
      </c>
      <c r="AP160">
        <v>14.4</v>
      </c>
      <c r="AQ160">
        <v>5.8</v>
      </c>
      <c r="AR160">
        <v>0.98</v>
      </c>
      <c r="AS160">
        <v>29</v>
      </c>
      <c r="AT160">
        <v>59.5</v>
      </c>
      <c r="AU160">
        <v>67.400000000000006</v>
      </c>
      <c r="AV160">
        <v>32</v>
      </c>
      <c r="AW160">
        <v>7481</v>
      </c>
      <c r="AX160" t="s">
        <v>1284</v>
      </c>
      <c r="AY160" t="s">
        <v>1322</v>
      </c>
      <c r="AZ160">
        <v>349.3</v>
      </c>
      <c r="BA160">
        <v>30.4</v>
      </c>
      <c r="BB160">
        <v>5.8</v>
      </c>
      <c r="BC160">
        <v>6.1</v>
      </c>
      <c r="BD160">
        <v>5.8</v>
      </c>
      <c r="BE160">
        <v>6.1</v>
      </c>
    </row>
    <row r="161" spans="1:57" x14ac:dyDescent="0.25">
      <c r="A161" t="s">
        <v>682</v>
      </c>
      <c r="B161">
        <v>138</v>
      </c>
      <c r="C161" t="s">
        <v>53</v>
      </c>
      <c r="D161">
        <v>2</v>
      </c>
      <c r="E161" t="s">
        <v>40</v>
      </c>
      <c r="F161" t="s">
        <v>383</v>
      </c>
      <c r="G161">
        <v>1243</v>
      </c>
      <c r="H161">
        <v>0</v>
      </c>
      <c r="I161">
        <v>0</v>
      </c>
      <c r="J161">
        <v>1</v>
      </c>
      <c r="K161" t="s">
        <v>250</v>
      </c>
      <c r="L161" t="s">
        <v>1079</v>
      </c>
      <c r="M161" t="s">
        <v>1079</v>
      </c>
      <c r="P161" t="s">
        <v>330</v>
      </c>
      <c r="Q161">
        <v>6.2</v>
      </c>
      <c r="R161">
        <v>7.4630000000000001</v>
      </c>
      <c r="S161">
        <v>5.64</v>
      </c>
      <c r="T161">
        <v>9.0500000000000007</v>
      </c>
      <c r="U161">
        <v>6.2</v>
      </c>
      <c r="V161">
        <v>98.9</v>
      </c>
      <c r="W161">
        <v>97.7</v>
      </c>
      <c r="X161">
        <v>1.3</v>
      </c>
      <c r="Y161">
        <v>1.1000000000000001</v>
      </c>
      <c r="Z161">
        <v>-0.1</v>
      </c>
      <c r="AB161">
        <v>3.1</v>
      </c>
      <c r="AC161">
        <v>143</v>
      </c>
      <c r="AD161">
        <v>1.34</v>
      </c>
      <c r="AE161">
        <v>104</v>
      </c>
      <c r="AF161" t="s">
        <v>1090</v>
      </c>
      <c r="AG161">
        <v>1.8</v>
      </c>
      <c r="AI161">
        <v>13.8</v>
      </c>
      <c r="AJ161">
        <v>2.64</v>
      </c>
      <c r="AK161">
        <v>6.5</v>
      </c>
      <c r="AL161">
        <v>29.8</v>
      </c>
      <c r="AM161">
        <v>100.3</v>
      </c>
      <c r="AN161">
        <v>9.4</v>
      </c>
      <c r="AO161">
        <v>12.5</v>
      </c>
      <c r="AP161">
        <v>13.8</v>
      </c>
      <c r="AQ161">
        <v>5.9</v>
      </c>
      <c r="AR161">
        <v>1.39</v>
      </c>
      <c r="AS161">
        <v>30.3</v>
      </c>
      <c r="AT161">
        <v>63</v>
      </c>
      <c r="AU161">
        <v>70.8</v>
      </c>
      <c r="AV161">
        <v>30.7</v>
      </c>
      <c r="AW161">
        <v>7482</v>
      </c>
      <c r="AX161" t="s">
        <v>1309</v>
      </c>
      <c r="AY161" t="s">
        <v>1310</v>
      </c>
      <c r="AZ161">
        <v>291.5</v>
      </c>
      <c r="BA161">
        <v>34.4</v>
      </c>
      <c r="BB161">
        <v>5.9</v>
      </c>
      <c r="BC161">
        <v>6.5</v>
      </c>
      <c r="BD161">
        <v>5.9</v>
      </c>
      <c r="BE161">
        <v>6.5</v>
      </c>
    </row>
    <row r="162" spans="1:57" x14ac:dyDescent="0.25">
      <c r="A162" t="s">
        <v>609</v>
      </c>
      <c r="B162">
        <v>132</v>
      </c>
      <c r="C162" t="s">
        <v>56</v>
      </c>
      <c r="D162">
        <v>2</v>
      </c>
      <c r="E162" t="s">
        <v>54</v>
      </c>
      <c r="F162" t="s">
        <v>383</v>
      </c>
      <c r="G162">
        <v>1015.2</v>
      </c>
      <c r="H162">
        <v>0</v>
      </c>
      <c r="I162">
        <v>0</v>
      </c>
      <c r="J162">
        <v>1</v>
      </c>
      <c r="K162" t="s">
        <v>284</v>
      </c>
      <c r="L162" t="s">
        <v>1079</v>
      </c>
      <c r="M162" t="s">
        <v>1079</v>
      </c>
      <c r="P162" t="s">
        <v>97</v>
      </c>
      <c r="Q162">
        <v>5.8</v>
      </c>
      <c r="R162">
        <v>7.5149999999999997</v>
      </c>
      <c r="S162">
        <v>4.42</v>
      </c>
      <c r="T162">
        <v>11.7</v>
      </c>
      <c r="U162">
        <v>5.8</v>
      </c>
      <c r="V162">
        <v>100.1</v>
      </c>
      <c r="W162">
        <v>99.2</v>
      </c>
      <c r="X162">
        <v>0.9</v>
      </c>
      <c r="Y162">
        <v>-0.1</v>
      </c>
      <c r="Z162">
        <v>0</v>
      </c>
      <c r="AB162">
        <v>3.8</v>
      </c>
      <c r="AC162">
        <v>196</v>
      </c>
      <c r="AD162">
        <v>0.52</v>
      </c>
      <c r="AE162">
        <v>131</v>
      </c>
      <c r="AF162" t="s">
        <v>628</v>
      </c>
      <c r="AG162">
        <v>2.1</v>
      </c>
      <c r="AI162">
        <v>13.2</v>
      </c>
      <c r="AJ162">
        <v>2.48</v>
      </c>
      <c r="AK162">
        <v>3.8</v>
      </c>
      <c r="AL162">
        <v>27.9</v>
      </c>
      <c r="AM162">
        <v>100.2</v>
      </c>
      <c r="AN162">
        <v>38.200000000000003</v>
      </c>
      <c r="AO162">
        <v>42</v>
      </c>
      <c r="AP162">
        <v>13</v>
      </c>
      <c r="AQ162">
        <v>3.8</v>
      </c>
      <c r="AR162">
        <v>0.56000000000000005</v>
      </c>
      <c r="AS162">
        <v>26.7</v>
      </c>
      <c r="AT162">
        <v>55.6</v>
      </c>
      <c r="AU162">
        <v>62.2</v>
      </c>
      <c r="AV162">
        <v>28.9</v>
      </c>
      <c r="AW162">
        <v>7455</v>
      </c>
      <c r="AX162" t="s">
        <v>941</v>
      </c>
      <c r="AY162" t="s">
        <v>1323</v>
      </c>
      <c r="AZ162">
        <v>407.6</v>
      </c>
      <c r="BA162">
        <v>30.5</v>
      </c>
      <c r="BB162">
        <v>3.8</v>
      </c>
      <c r="BC162">
        <v>3.8</v>
      </c>
      <c r="BD162">
        <v>3.8</v>
      </c>
      <c r="BE162">
        <v>3.8</v>
      </c>
    </row>
    <row r="163" spans="1:57" x14ac:dyDescent="0.25">
      <c r="A163" t="s">
        <v>789</v>
      </c>
      <c r="B163">
        <v>128</v>
      </c>
      <c r="C163" t="s">
        <v>80</v>
      </c>
      <c r="D163">
        <v>2</v>
      </c>
      <c r="E163" t="s">
        <v>142</v>
      </c>
      <c r="F163" t="s">
        <v>382</v>
      </c>
      <c r="G163">
        <v>678</v>
      </c>
      <c r="H163">
        <v>1</v>
      </c>
      <c r="I163">
        <v>1</v>
      </c>
      <c r="J163">
        <v>0</v>
      </c>
      <c r="K163" t="s">
        <v>289</v>
      </c>
      <c r="L163" t="s">
        <v>1079</v>
      </c>
      <c r="M163" t="s">
        <v>1079</v>
      </c>
      <c r="P163" t="s">
        <v>98</v>
      </c>
      <c r="Q163">
        <v>5.9</v>
      </c>
      <c r="R163">
        <v>7.4160000000000004</v>
      </c>
      <c r="S163">
        <v>5.93</v>
      </c>
      <c r="T163">
        <v>37.6</v>
      </c>
      <c r="U163">
        <v>5.9</v>
      </c>
      <c r="V163">
        <v>101.4</v>
      </c>
      <c r="W163">
        <v>100.6</v>
      </c>
      <c r="X163">
        <v>0.7</v>
      </c>
      <c r="Y163">
        <v>-1.4</v>
      </c>
      <c r="Z163">
        <v>0.1</v>
      </c>
      <c r="AB163">
        <v>4.7</v>
      </c>
      <c r="AC163">
        <v>154</v>
      </c>
      <c r="AD163">
        <v>1.07</v>
      </c>
      <c r="AE163">
        <v>108</v>
      </c>
      <c r="AF163" t="s">
        <v>836</v>
      </c>
      <c r="AG163">
        <v>1.1000000000000001</v>
      </c>
      <c r="AI163">
        <v>13.9</v>
      </c>
      <c r="AJ163">
        <v>2.81</v>
      </c>
      <c r="AK163">
        <v>4</v>
      </c>
      <c r="AL163">
        <v>27.6</v>
      </c>
      <c r="AM163">
        <v>100.2</v>
      </c>
      <c r="AN163">
        <v>17.2</v>
      </c>
      <c r="AO163">
        <v>21.9</v>
      </c>
      <c r="AP163">
        <v>13</v>
      </c>
      <c r="AQ163">
        <v>3.5</v>
      </c>
      <c r="AR163">
        <v>1.08</v>
      </c>
      <c r="AS163">
        <v>28.5</v>
      </c>
      <c r="AT163">
        <v>60.1</v>
      </c>
      <c r="AU163">
        <v>67</v>
      </c>
      <c r="AV163">
        <v>29</v>
      </c>
      <c r="AW163">
        <v>7450</v>
      </c>
      <c r="AX163" t="s">
        <v>1386</v>
      </c>
      <c r="AY163" t="s">
        <v>1387</v>
      </c>
      <c r="AZ163">
        <v>312.7</v>
      </c>
      <c r="BA163">
        <v>38.4</v>
      </c>
      <c r="BB163">
        <v>3.5</v>
      </c>
      <c r="BC163">
        <v>4</v>
      </c>
      <c r="BD163">
        <v>3.5</v>
      </c>
      <c r="BE163">
        <v>4</v>
      </c>
    </row>
    <row r="164" spans="1:57" x14ac:dyDescent="0.25">
      <c r="A164" t="s">
        <v>847</v>
      </c>
      <c r="B164">
        <v>141</v>
      </c>
      <c r="C164" t="s">
        <v>82</v>
      </c>
      <c r="D164">
        <v>2</v>
      </c>
      <c r="E164" t="s">
        <v>146</v>
      </c>
      <c r="F164" t="s">
        <v>383</v>
      </c>
      <c r="G164">
        <v>1405</v>
      </c>
      <c r="H164">
        <v>0</v>
      </c>
      <c r="I164">
        <v>1</v>
      </c>
      <c r="J164">
        <v>0</v>
      </c>
      <c r="K164" t="s">
        <v>238</v>
      </c>
      <c r="L164" t="s">
        <v>1079</v>
      </c>
      <c r="M164" t="s">
        <v>1079</v>
      </c>
      <c r="P164" t="s">
        <v>99</v>
      </c>
      <c r="Q164">
        <v>5.7</v>
      </c>
      <c r="R164">
        <v>7.5380000000000003</v>
      </c>
      <c r="S164">
        <v>5.04</v>
      </c>
      <c r="T164">
        <v>7.03</v>
      </c>
      <c r="U164">
        <v>5.7</v>
      </c>
      <c r="V164">
        <v>96.2</v>
      </c>
      <c r="W164">
        <v>94.9</v>
      </c>
      <c r="X164">
        <v>1.3</v>
      </c>
      <c r="Y164">
        <v>3.7</v>
      </c>
      <c r="Z164">
        <v>0.1</v>
      </c>
      <c r="AB164">
        <v>4.0999999999999996</v>
      </c>
      <c r="AC164">
        <v>200</v>
      </c>
      <c r="AD164">
        <v>0.79</v>
      </c>
      <c r="AE164">
        <v>138</v>
      </c>
      <c r="AF164" t="s">
        <v>963</v>
      </c>
      <c r="AG164">
        <v>1.1000000000000001</v>
      </c>
      <c r="AI164">
        <v>12.2</v>
      </c>
      <c r="AJ164">
        <v>1.95</v>
      </c>
      <c r="AK164">
        <v>9.5</v>
      </c>
      <c r="AL164">
        <v>32.6</v>
      </c>
      <c r="AM164">
        <v>100.3</v>
      </c>
      <c r="AN164">
        <v>30.1</v>
      </c>
      <c r="AO164">
        <v>34.200000000000003</v>
      </c>
      <c r="AP164">
        <v>12.6</v>
      </c>
      <c r="AQ164">
        <v>8.9</v>
      </c>
      <c r="AR164">
        <v>0.85</v>
      </c>
      <c r="AS164">
        <v>32.1</v>
      </c>
      <c r="AT164">
        <v>66.8</v>
      </c>
      <c r="AU164">
        <v>74.5</v>
      </c>
      <c r="AV164">
        <v>28.1</v>
      </c>
      <c r="AW164">
        <v>7519</v>
      </c>
      <c r="AX164" t="s">
        <v>1287</v>
      </c>
      <c r="AY164" t="s">
        <v>1054</v>
      </c>
      <c r="AZ164">
        <v>403.7</v>
      </c>
      <c r="BA164">
        <v>29</v>
      </c>
      <c r="BB164">
        <v>8.9</v>
      </c>
      <c r="BC164">
        <v>9.5</v>
      </c>
      <c r="BD164">
        <v>8.8000000000000007</v>
      </c>
      <c r="BE164">
        <v>9.5</v>
      </c>
    </row>
    <row r="165" spans="1:57" x14ac:dyDescent="0.25">
      <c r="A165" t="s">
        <v>695</v>
      </c>
      <c r="B165">
        <v>131</v>
      </c>
      <c r="C165" t="s">
        <v>58</v>
      </c>
      <c r="D165">
        <v>2</v>
      </c>
      <c r="E165" t="s">
        <v>71</v>
      </c>
      <c r="F165" t="s">
        <v>383</v>
      </c>
      <c r="G165">
        <v>1202.8</v>
      </c>
      <c r="H165">
        <v>0</v>
      </c>
      <c r="I165">
        <v>0</v>
      </c>
      <c r="J165">
        <v>0</v>
      </c>
      <c r="K165" t="s">
        <v>285</v>
      </c>
      <c r="L165" t="s">
        <v>1079</v>
      </c>
      <c r="M165" t="s">
        <v>1079</v>
      </c>
      <c r="P165" t="s">
        <v>100</v>
      </c>
      <c r="Q165">
        <v>6.5</v>
      </c>
      <c r="R165">
        <v>7.4989999999999997</v>
      </c>
      <c r="S165">
        <v>4.55</v>
      </c>
      <c r="T165">
        <v>22.4</v>
      </c>
      <c r="U165">
        <v>6.5</v>
      </c>
      <c r="V165">
        <v>101</v>
      </c>
      <c r="W165">
        <v>100.2</v>
      </c>
      <c r="X165">
        <v>0.5</v>
      </c>
      <c r="Y165">
        <v>-1</v>
      </c>
      <c r="Z165">
        <v>0.3</v>
      </c>
      <c r="AB165">
        <v>5</v>
      </c>
      <c r="AC165">
        <v>161</v>
      </c>
      <c r="AD165">
        <v>0.7</v>
      </c>
      <c r="AE165">
        <v>104</v>
      </c>
      <c r="AF165" t="s">
        <v>1356</v>
      </c>
      <c r="AG165">
        <v>2</v>
      </c>
      <c r="AI165">
        <v>14.9</v>
      </c>
      <c r="AJ165">
        <v>2.56</v>
      </c>
      <c r="AK165">
        <v>3.4</v>
      </c>
      <c r="AL165">
        <v>27.5</v>
      </c>
      <c r="AM165">
        <v>100.2</v>
      </c>
      <c r="AN165">
        <v>31</v>
      </c>
      <c r="AO165">
        <v>36</v>
      </c>
      <c r="AP165">
        <v>14.4</v>
      </c>
      <c r="AQ165">
        <v>3.4</v>
      </c>
      <c r="AR165">
        <v>0.74</v>
      </c>
      <c r="AS165">
        <v>26.6</v>
      </c>
      <c r="AT165">
        <v>54.6</v>
      </c>
      <c r="AU165">
        <v>61.9</v>
      </c>
      <c r="AV165">
        <v>32</v>
      </c>
      <c r="AW165">
        <v>7450</v>
      </c>
      <c r="AX165" t="s">
        <v>1357</v>
      </c>
      <c r="AY165" t="s">
        <v>1358</v>
      </c>
      <c r="AZ165">
        <v>334.9</v>
      </c>
      <c r="BA165">
        <v>31.7</v>
      </c>
      <c r="BB165">
        <v>3.4</v>
      </c>
      <c r="BC165">
        <v>3.4</v>
      </c>
      <c r="BD165">
        <v>3.4</v>
      </c>
      <c r="BE165">
        <v>3.4</v>
      </c>
    </row>
    <row r="166" spans="1:57" x14ac:dyDescent="0.25">
      <c r="A166" t="s">
        <v>771</v>
      </c>
      <c r="B166">
        <v>140</v>
      </c>
      <c r="C166" t="s">
        <v>60</v>
      </c>
      <c r="D166">
        <v>2</v>
      </c>
      <c r="E166" t="s">
        <v>142</v>
      </c>
      <c r="F166" t="s">
        <v>383</v>
      </c>
      <c r="G166">
        <v>1261</v>
      </c>
      <c r="H166">
        <v>1</v>
      </c>
      <c r="I166">
        <v>1</v>
      </c>
      <c r="J166">
        <v>0</v>
      </c>
      <c r="K166" t="s">
        <v>240</v>
      </c>
      <c r="L166" t="s">
        <v>1079</v>
      </c>
      <c r="M166" t="s">
        <v>1079</v>
      </c>
      <c r="P166" t="s">
        <v>101</v>
      </c>
      <c r="Q166">
        <v>6</v>
      </c>
      <c r="R166">
        <v>7.5650000000000004</v>
      </c>
      <c r="S166">
        <v>4.5599999999999996</v>
      </c>
      <c r="T166">
        <v>7.43</v>
      </c>
      <c r="U166">
        <v>6</v>
      </c>
      <c r="V166">
        <v>96.9</v>
      </c>
      <c r="W166">
        <v>95.7</v>
      </c>
      <c r="X166">
        <v>1.1000000000000001</v>
      </c>
      <c r="Y166">
        <v>3.1</v>
      </c>
      <c r="Z166">
        <v>0.1</v>
      </c>
      <c r="AB166">
        <v>4.0999999999999996</v>
      </c>
      <c r="AC166">
        <v>158</v>
      </c>
      <c r="AD166">
        <v>0.97</v>
      </c>
      <c r="AE166">
        <v>114</v>
      </c>
      <c r="AF166" t="s">
        <v>974</v>
      </c>
      <c r="AG166">
        <v>1.3</v>
      </c>
      <c r="AI166">
        <v>13.1</v>
      </c>
      <c r="AJ166">
        <v>1.87</v>
      </c>
      <c r="AK166">
        <v>8.8000000000000007</v>
      </c>
      <c r="AL166">
        <v>32.1</v>
      </c>
      <c r="AM166">
        <v>100.3</v>
      </c>
      <c r="AN166">
        <v>13.8</v>
      </c>
      <c r="AO166">
        <v>17.899999999999999</v>
      </c>
      <c r="AP166">
        <v>13.4</v>
      </c>
      <c r="AQ166">
        <v>8.4</v>
      </c>
      <c r="AR166">
        <v>1.07</v>
      </c>
      <c r="AS166">
        <v>30.9</v>
      </c>
      <c r="AT166">
        <v>63.7</v>
      </c>
      <c r="AU166">
        <v>71.599999999999994</v>
      </c>
      <c r="AV166">
        <v>29.8</v>
      </c>
      <c r="AW166">
        <v>7513</v>
      </c>
      <c r="AX166" t="s">
        <v>1357</v>
      </c>
      <c r="AY166" t="s">
        <v>1210</v>
      </c>
      <c r="AZ166">
        <v>320.3</v>
      </c>
      <c r="BA166">
        <v>27.3</v>
      </c>
      <c r="BB166">
        <v>8.4</v>
      </c>
      <c r="BC166">
        <v>8.8000000000000007</v>
      </c>
      <c r="BD166">
        <v>8.3000000000000007</v>
      </c>
      <c r="BE166">
        <v>8.6999999999999993</v>
      </c>
    </row>
    <row r="167" spans="1:57" x14ac:dyDescent="0.25">
      <c r="A167" t="s">
        <v>674</v>
      </c>
      <c r="B167">
        <v>115</v>
      </c>
      <c r="C167" t="s">
        <v>62</v>
      </c>
      <c r="D167">
        <v>2</v>
      </c>
      <c r="E167" t="s">
        <v>40</v>
      </c>
      <c r="F167" t="s">
        <v>383</v>
      </c>
      <c r="G167">
        <v>791</v>
      </c>
      <c r="H167">
        <v>0</v>
      </c>
      <c r="I167">
        <v>1</v>
      </c>
      <c r="J167">
        <v>1</v>
      </c>
      <c r="K167" t="s">
        <v>244</v>
      </c>
      <c r="L167" t="s">
        <v>1079</v>
      </c>
      <c r="M167" t="s">
        <v>1079</v>
      </c>
      <c r="P167" t="s">
        <v>102</v>
      </c>
      <c r="Q167">
        <v>5.9</v>
      </c>
      <c r="R167">
        <v>7.3710000000000004</v>
      </c>
      <c r="S167">
        <v>7.04</v>
      </c>
      <c r="T167">
        <v>5</v>
      </c>
      <c r="U167">
        <v>5.9</v>
      </c>
      <c r="V167">
        <v>82.1</v>
      </c>
      <c r="W167">
        <v>80.8</v>
      </c>
      <c r="X167">
        <v>1.3</v>
      </c>
      <c r="Y167">
        <v>17.600000000000001</v>
      </c>
      <c r="Z167">
        <v>0.3</v>
      </c>
      <c r="AB167">
        <v>3</v>
      </c>
      <c r="AC167">
        <v>165</v>
      </c>
      <c r="AD167">
        <v>0.93</v>
      </c>
      <c r="AE167">
        <v>114</v>
      </c>
      <c r="AF167" t="s">
        <v>1208</v>
      </c>
      <c r="AG167">
        <v>2</v>
      </c>
      <c r="AI167">
        <v>10.8</v>
      </c>
      <c r="AJ167">
        <v>2.81</v>
      </c>
      <c r="AK167">
        <v>5.3</v>
      </c>
      <c r="AL167">
        <v>28.2</v>
      </c>
      <c r="AM167">
        <v>100.3</v>
      </c>
      <c r="AN167">
        <v>19.5</v>
      </c>
      <c r="AO167">
        <v>22.5</v>
      </c>
      <c r="AP167">
        <v>13</v>
      </c>
      <c r="AQ167">
        <v>4.5</v>
      </c>
      <c r="AR167">
        <v>0.92</v>
      </c>
      <c r="AS167">
        <v>30.6</v>
      </c>
      <c r="AT167">
        <v>65.099999999999994</v>
      </c>
      <c r="AU167">
        <v>72.2</v>
      </c>
      <c r="AV167">
        <v>29.1</v>
      </c>
      <c r="AW167">
        <v>7461</v>
      </c>
      <c r="AX167" t="s">
        <v>1340</v>
      </c>
      <c r="AY167" t="s">
        <v>715</v>
      </c>
      <c r="AZ167">
        <v>345.3</v>
      </c>
      <c r="BA167">
        <v>42.5</v>
      </c>
      <c r="BB167">
        <v>4.5</v>
      </c>
      <c r="BC167">
        <v>5.3</v>
      </c>
      <c r="BD167">
        <v>4.2</v>
      </c>
      <c r="BE167">
        <v>5.2</v>
      </c>
    </row>
    <row r="168" spans="1:57" x14ac:dyDescent="0.25">
      <c r="A168" t="s">
        <v>727</v>
      </c>
      <c r="B168">
        <v>134</v>
      </c>
      <c r="C168" t="s">
        <v>64</v>
      </c>
      <c r="D168">
        <v>2</v>
      </c>
      <c r="E168" t="s">
        <v>71</v>
      </c>
      <c r="F168" t="s">
        <v>383</v>
      </c>
      <c r="G168">
        <v>1031</v>
      </c>
      <c r="H168">
        <v>0</v>
      </c>
      <c r="I168">
        <v>0</v>
      </c>
      <c r="J168">
        <v>0</v>
      </c>
      <c r="K168" t="s">
        <v>276</v>
      </c>
      <c r="L168" t="s">
        <v>1079</v>
      </c>
      <c r="M168" t="s">
        <v>1079</v>
      </c>
      <c r="P168" t="s">
        <v>103</v>
      </c>
      <c r="Q168">
        <v>5.4</v>
      </c>
      <c r="R168">
        <v>7.5119999999999996</v>
      </c>
      <c r="S168">
        <v>5.28</v>
      </c>
      <c r="T168">
        <v>6.69</v>
      </c>
      <c r="U168">
        <v>5.4</v>
      </c>
      <c r="V168">
        <v>96.6</v>
      </c>
      <c r="W168">
        <v>95</v>
      </c>
      <c r="X168">
        <v>1.4</v>
      </c>
      <c r="Y168">
        <v>3.3</v>
      </c>
      <c r="Z168">
        <v>0.3</v>
      </c>
      <c r="AB168">
        <v>4.5</v>
      </c>
      <c r="AC168">
        <v>147</v>
      </c>
      <c r="AD168">
        <v>1.21</v>
      </c>
      <c r="AE168">
        <v>104</v>
      </c>
      <c r="AF168" t="s">
        <v>652</v>
      </c>
      <c r="AG168">
        <v>1.4</v>
      </c>
      <c r="AI168">
        <v>11.6</v>
      </c>
      <c r="AJ168">
        <v>1.71</v>
      </c>
      <c r="AK168">
        <v>8.8000000000000007</v>
      </c>
      <c r="AL168">
        <v>31.8</v>
      </c>
      <c r="AM168">
        <v>100.2</v>
      </c>
      <c r="AN168">
        <v>11</v>
      </c>
      <c r="AO168">
        <v>15.5</v>
      </c>
      <c r="AP168">
        <v>11.8</v>
      </c>
      <c r="AQ168">
        <v>8.1</v>
      </c>
      <c r="AR168">
        <v>1.29</v>
      </c>
      <c r="AS168">
        <v>31.7</v>
      </c>
      <c r="AT168">
        <v>66.7</v>
      </c>
      <c r="AU168">
        <v>73.8</v>
      </c>
      <c r="AV168">
        <v>26.5</v>
      </c>
      <c r="AW168">
        <v>7509</v>
      </c>
      <c r="AX168" t="s">
        <v>1361</v>
      </c>
      <c r="AY168" t="s">
        <v>1362</v>
      </c>
      <c r="AZ168">
        <v>295.60000000000002</v>
      </c>
      <c r="BA168">
        <v>30.7</v>
      </c>
      <c r="BB168">
        <v>8.1</v>
      </c>
      <c r="BC168">
        <v>8.8000000000000007</v>
      </c>
      <c r="BD168">
        <v>8</v>
      </c>
      <c r="BE168">
        <v>8.6999999999999993</v>
      </c>
    </row>
    <row r="169" spans="1:57" x14ac:dyDescent="0.25">
      <c r="A169" t="s">
        <v>748</v>
      </c>
      <c r="B169">
        <v>129</v>
      </c>
      <c r="C169" t="s">
        <v>66</v>
      </c>
      <c r="D169">
        <v>2</v>
      </c>
      <c r="E169" t="s">
        <v>142</v>
      </c>
      <c r="F169" t="s">
        <v>382</v>
      </c>
      <c r="G169">
        <v>1098.7</v>
      </c>
      <c r="H169">
        <v>1</v>
      </c>
      <c r="I169">
        <v>1</v>
      </c>
      <c r="J169">
        <v>0</v>
      </c>
      <c r="K169" t="s">
        <v>256</v>
      </c>
      <c r="L169" t="s">
        <v>1079</v>
      </c>
      <c r="M169" t="s">
        <v>1079</v>
      </c>
      <c r="P169" t="s">
        <v>104</v>
      </c>
      <c r="Q169">
        <v>5.9</v>
      </c>
      <c r="R169">
        <v>7.5330000000000004</v>
      </c>
      <c r="S169">
        <v>5.25</v>
      </c>
      <c r="T169">
        <v>5.14</v>
      </c>
      <c r="U169">
        <v>5.9</v>
      </c>
      <c r="V169">
        <v>88.9</v>
      </c>
      <c r="W169">
        <v>87.6</v>
      </c>
      <c r="X169">
        <v>1.4</v>
      </c>
      <c r="Y169">
        <v>10.9</v>
      </c>
      <c r="Z169">
        <v>0.1</v>
      </c>
      <c r="AB169">
        <v>4.2</v>
      </c>
      <c r="AC169">
        <v>147</v>
      </c>
      <c r="AD169">
        <v>1.27</v>
      </c>
      <c r="AE169">
        <v>103</v>
      </c>
      <c r="AF169" t="s">
        <v>950</v>
      </c>
      <c r="AG169">
        <v>1.5</v>
      </c>
      <c r="AI169">
        <v>11.7</v>
      </c>
      <c r="AJ169">
        <v>2.29</v>
      </c>
      <c r="AK169">
        <v>10.5</v>
      </c>
      <c r="AL169">
        <v>33.200000000000003</v>
      </c>
      <c r="AM169">
        <v>100.2</v>
      </c>
      <c r="AN169">
        <v>11</v>
      </c>
      <c r="AO169">
        <v>15.2</v>
      </c>
      <c r="AP169">
        <v>13.1</v>
      </c>
      <c r="AQ169">
        <v>9.6999999999999993</v>
      </c>
      <c r="AR169">
        <v>1.37</v>
      </c>
      <c r="AS169">
        <v>33.1</v>
      </c>
      <c r="AT169">
        <v>68.7</v>
      </c>
      <c r="AU169">
        <v>76.900000000000006</v>
      </c>
      <c r="AV169">
        <v>29.2</v>
      </c>
      <c r="AW169">
        <v>7528</v>
      </c>
      <c r="AX169" t="s">
        <v>1402</v>
      </c>
      <c r="AY169" t="s">
        <v>1403</v>
      </c>
      <c r="AZ169">
        <v>296.3</v>
      </c>
      <c r="BA169">
        <v>29.3</v>
      </c>
      <c r="BB169">
        <v>9.6999999999999993</v>
      </c>
      <c r="BC169">
        <v>10.5</v>
      </c>
      <c r="BD169">
        <v>9.5</v>
      </c>
      <c r="BE169">
        <v>10.4</v>
      </c>
    </row>
    <row r="170" spans="1:57" x14ac:dyDescent="0.25">
      <c r="A170" t="s">
        <v>662</v>
      </c>
      <c r="B170">
        <v>124</v>
      </c>
      <c r="C170" t="s">
        <v>385</v>
      </c>
      <c r="D170">
        <v>2</v>
      </c>
      <c r="E170" t="s">
        <v>40</v>
      </c>
      <c r="F170" t="s">
        <v>382</v>
      </c>
      <c r="G170">
        <v>793.5</v>
      </c>
      <c r="H170">
        <v>0</v>
      </c>
      <c r="I170">
        <v>1</v>
      </c>
      <c r="J170">
        <v>1</v>
      </c>
      <c r="K170" t="s">
        <v>268</v>
      </c>
      <c r="L170" t="s">
        <v>1079</v>
      </c>
      <c r="M170" t="s">
        <v>1079</v>
      </c>
      <c r="P170" t="s">
        <v>342</v>
      </c>
      <c r="Q170">
        <v>5.6</v>
      </c>
      <c r="R170">
        <v>7.524</v>
      </c>
      <c r="S170">
        <v>4.88</v>
      </c>
      <c r="T170">
        <v>8.75</v>
      </c>
      <c r="U170">
        <v>5.6</v>
      </c>
      <c r="V170">
        <v>99.8</v>
      </c>
      <c r="W170">
        <v>98.6</v>
      </c>
      <c r="X170">
        <v>1</v>
      </c>
      <c r="Y170">
        <v>0.2</v>
      </c>
      <c r="Z170">
        <v>0.2</v>
      </c>
      <c r="AB170">
        <v>2.8</v>
      </c>
      <c r="AC170">
        <v>178</v>
      </c>
      <c r="AD170">
        <v>0.69</v>
      </c>
      <c r="AE170">
        <v>113</v>
      </c>
      <c r="AF170" t="s">
        <v>940</v>
      </c>
      <c r="AG170">
        <v>1.2</v>
      </c>
      <c r="AI170">
        <v>12.6</v>
      </c>
      <c r="AJ170">
        <v>2.54</v>
      </c>
      <c r="AK170">
        <v>7.3</v>
      </c>
      <c r="AL170">
        <v>30.7</v>
      </c>
      <c r="AM170">
        <v>100.2</v>
      </c>
      <c r="AN170">
        <v>35</v>
      </c>
      <c r="AO170">
        <v>37.799999999999997</v>
      </c>
      <c r="AP170">
        <v>12.4</v>
      </c>
      <c r="AQ170">
        <v>6.8</v>
      </c>
      <c r="AR170">
        <v>0.73</v>
      </c>
      <c r="AS170">
        <v>30.1</v>
      </c>
      <c r="AT170">
        <v>62.8</v>
      </c>
      <c r="AU170">
        <v>70</v>
      </c>
      <c r="AV170">
        <v>27.6</v>
      </c>
      <c r="AW170">
        <v>7494</v>
      </c>
      <c r="AX170" t="s">
        <v>1242</v>
      </c>
      <c r="AY170" t="s">
        <v>1329</v>
      </c>
      <c r="AZ170">
        <v>361.1</v>
      </c>
      <c r="BA170">
        <v>30</v>
      </c>
      <c r="BB170">
        <v>6.8</v>
      </c>
      <c r="BC170">
        <v>7.3</v>
      </c>
      <c r="BD170">
        <v>6.8</v>
      </c>
      <c r="BE170">
        <v>7.3</v>
      </c>
    </row>
    <row r="171" spans="1:57" x14ac:dyDescent="0.25">
      <c r="A171" t="s">
        <v>631</v>
      </c>
      <c r="B171">
        <v>118</v>
      </c>
      <c r="C171" t="s">
        <v>68</v>
      </c>
      <c r="D171">
        <v>2</v>
      </c>
      <c r="E171" t="s">
        <v>40</v>
      </c>
      <c r="F171" t="s">
        <v>382</v>
      </c>
      <c r="G171">
        <v>1303</v>
      </c>
      <c r="H171">
        <v>0</v>
      </c>
      <c r="I171">
        <v>1</v>
      </c>
      <c r="J171">
        <v>1</v>
      </c>
      <c r="K171" t="s">
        <v>287</v>
      </c>
      <c r="L171" t="s">
        <v>1079</v>
      </c>
      <c r="M171" t="s">
        <v>1079</v>
      </c>
      <c r="P171" t="s">
        <v>105</v>
      </c>
      <c r="Q171">
        <v>6.1</v>
      </c>
      <c r="R171">
        <v>7.4029999999999996</v>
      </c>
      <c r="S171">
        <v>6.22</v>
      </c>
      <c r="T171">
        <v>19.7</v>
      </c>
      <c r="U171">
        <v>6.1</v>
      </c>
      <c r="V171">
        <v>101</v>
      </c>
      <c r="W171">
        <v>100.2</v>
      </c>
      <c r="X171">
        <v>0.8</v>
      </c>
      <c r="Y171">
        <v>-1</v>
      </c>
      <c r="Z171">
        <v>0</v>
      </c>
      <c r="AB171">
        <v>3</v>
      </c>
      <c r="AC171">
        <v>183</v>
      </c>
      <c r="AD171">
        <v>0.75</v>
      </c>
      <c r="AE171">
        <v>117</v>
      </c>
      <c r="AF171" t="s">
        <v>852</v>
      </c>
      <c r="AG171">
        <v>1.1000000000000001</v>
      </c>
      <c r="AI171">
        <v>13.9</v>
      </c>
      <c r="AJ171">
        <v>2.87</v>
      </c>
      <c r="AK171">
        <v>4.3</v>
      </c>
      <c r="AL171">
        <v>27.8</v>
      </c>
      <c r="AM171">
        <v>100.2</v>
      </c>
      <c r="AN171">
        <v>36.4</v>
      </c>
      <c r="AO171">
        <v>39.4</v>
      </c>
      <c r="AP171">
        <v>13.5</v>
      </c>
      <c r="AQ171">
        <v>3.7</v>
      </c>
      <c r="AR171">
        <v>0.75</v>
      </c>
      <c r="AS171">
        <v>29</v>
      </c>
      <c r="AT171">
        <v>61.1</v>
      </c>
      <c r="AU171">
        <v>68.3</v>
      </c>
      <c r="AV171">
        <v>29.9</v>
      </c>
      <c r="AW171">
        <v>7452</v>
      </c>
      <c r="AX171" t="s">
        <v>1333</v>
      </c>
      <c r="AY171" t="s">
        <v>1334</v>
      </c>
      <c r="AZ171">
        <v>373.5</v>
      </c>
      <c r="BA171">
        <v>39.6</v>
      </c>
      <c r="BB171">
        <v>3.7</v>
      </c>
      <c r="BC171">
        <v>4.3</v>
      </c>
      <c r="BD171">
        <v>3.7</v>
      </c>
      <c r="BE171">
        <v>4.3</v>
      </c>
    </row>
    <row r="172" spans="1:57" x14ac:dyDescent="0.25">
      <c r="A172" t="s">
        <v>785</v>
      </c>
      <c r="B172">
        <v>125</v>
      </c>
      <c r="C172" t="s">
        <v>70</v>
      </c>
      <c r="D172">
        <v>2</v>
      </c>
      <c r="E172" t="s">
        <v>142</v>
      </c>
      <c r="F172" t="s">
        <v>383</v>
      </c>
      <c r="G172">
        <v>1327</v>
      </c>
      <c r="H172">
        <v>1</v>
      </c>
      <c r="I172">
        <v>1</v>
      </c>
      <c r="J172">
        <v>0</v>
      </c>
      <c r="K172" t="s">
        <v>272</v>
      </c>
      <c r="L172" t="s">
        <v>1079</v>
      </c>
      <c r="M172" t="s">
        <v>1079</v>
      </c>
      <c r="P172" t="s">
        <v>106</v>
      </c>
      <c r="Q172">
        <v>5.7</v>
      </c>
      <c r="R172">
        <v>7.5220000000000002</v>
      </c>
      <c r="S172">
        <v>5.17</v>
      </c>
      <c r="T172">
        <v>9.08</v>
      </c>
      <c r="U172">
        <v>5.7</v>
      </c>
      <c r="V172">
        <v>99.1</v>
      </c>
      <c r="W172">
        <v>97.8</v>
      </c>
      <c r="X172">
        <v>1</v>
      </c>
      <c r="Y172">
        <v>0.9</v>
      </c>
      <c r="Z172">
        <v>0.3</v>
      </c>
      <c r="AB172">
        <v>4.4000000000000004</v>
      </c>
      <c r="AC172">
        <v>157</v>
      </c>
      <c r="AD172">
        <v>1.03</v>
      </c>
      <c r="AE172">
        <v>112</v>
      </c>
      <c r="AF172" t="s">
        <v>974</v>
      </c>
      <c r="AG172">
        <v>1</v>
      </c>
      <c r="AI172">
        <v>12.6</v>
      </c>
      <c r="AJ172">
        <v>2.57</v>
      </c>
      <c r="AK172">
        <v>9</v>
      </c>
      <c r="AL172">
        <v>32.1</v>
      </c>
      <c r="AM172">
        <v>100.2</v>
      </c>
      <c r="AN172">
        <v>13.4</v>
      </c>
      <c r="AO172">
        <v>17.7</v>
      </c>
      <c r="AP172">
        <v>12.5</v>
      </c>
      <c r="AQ172">
        <v>8.3000000000000007</v>
      </c>
      <c r="AR172">
        <v>1.1000000000000001</v>
      </c>
      <c r="AS172">
        <v>31.8</v>
      </c>
      <c r="AT172">
        <v>66.400000000000006</v>
      </c>
      <c r="AU172">
        <v>74</v>
      </c>
      <c r="AV172">
        <v>28</v>
      </c>
      <c r="AW172">
        <v>7512</v>
      </c>
      <c r="AX172" t="s">
        <v>1223</v>
      </c>
      <c r="AY172" t="s">
        <v>1396</v>
      </c>
      <c r="AZ172">
        <v>317.8</v>
      </c>
      <c r="BA172">
        <v>30</v>
      </c>
      <c r="BB172">
        <v>8.3000000000000007</v>
      </c>
      <c r="BC172">
        <v>9</v>
      </c>
      <c r="BD172">
        <v>8.3000000000000007</v>
      </c>
      <c r="BE172">
        <v>9</v>
      </c>
    </row>
    <row r="173" spans="1:57" x14ac:dyDescent="0.25">
      <c r="A173" t="s">
        <v>622</v>
      </c>
      <c r="B173">
        <v>138</v>
      </c>
      <c r="C173" t="s">
        <v>386</v>
      </c>
      <c r="D173">
        <v>2</v>
      </c>
      <c r="E173" t="s">
        <v>54</v>
      </c>
      <c r="F173" t="s">
        <v>383</v>
      </c>
      <c r="G173">
        <v>1193</v>
      </c>
      <c r="H173">
        <v>0</v>
      </c>
      <c r="I173">
        <v>0</v>
      </c>
      <c r="J173">
        <v>1</v>
      </c>
      <c r="K173" t="s">
        <v>264</v>
      </c>
      <c r="L173" t="s">
        <v>1079</v>
      </c>
      <c r="M173" t="s">
        <v>1079</v>
      </c>
      <c r="P173" t="s">
        <v>346</v>
      </c>
      <c r="Q173">
        <v>6.1</v>
      </c>
      <c r="R173">
        <v>7.4950000000000001</v>
      </c>
      <c r="S173">
        <v>5.0999999999999996</v>
      </c>
      <c r="T173">
        <v>8.26</v>
      </c>
      <c r="U173">
        <v>6.1</v>
      </c>
      <c r="V173">
        <v>98</v>
      </c>
      <c r="W173">
        <v>97</v>
      </c>
      <c r="X173">
        <v>1</v>
      </c>
      <c r="Y173">
        <v>2</v>
      </c>
      <c r="Z173">
        <v>0</v>
      </c>
      <c r="AB173">
        <v>3.9</v>
      </c>
      <c r="AC173">
        <v>159</v>
      </c>
      <c r="AD173">
        <v>1.08</v>
      </c>
      <c r="AE173">
        <v>114</v>
      </c>
      <c r="AF173" t="s">
        <v>1065</v>
      </c>
      <c r="AG173">
        <v>1.3</v>
      </c>
      <c r="AI173">
        <v>13.5</v>
      </c>
      <c r="AJ173">
        <v>2.5499999999999998</v>
      </c>
      <c r="AK173">
        <v>6.2</v>
      </c>
      <c r="AL173">
        <v>29.7</v>
      </c>
      <c r="AM173">
        <v>100.2</v>
      </c>
      <c r="AN173">
        <v>16</v>
      </c>
      <c r="AO173">
        <v>19.899999999999999</v>
      </c>
      <c r="AP173">
        <v>13.5</v>
      </c>
      <c r="AQ173">
        <v>5.8</v>
      </c>
      <c r="AR173">
        <v>1.1399999999999999</v>
      </c>
      <c r="AS173">
        <v>29.5</v>
      </c>
      <c r="AT173">
        <v>61.2</v>
      </c>
      <c r="AU173">
        <v>68.7</v>
      </c>
      <c r="AV173">
        <v>30.2</v>
      </c>
      <c r="AW173">
        <v>7481</v>
      </c>
      <c r="AX173" t="s">
        <v>1301</v>
      </c>
      <c r="AY173" t="s">
        <v>1123</v>
      </c>
      <c r="AZ173">
        <v>339</v>
      </c>
      <c r="BA173">
        <v>32</v>
      </c>
      <c r="BB173">
        <v>5.8</v>
      </c>
      <c r="BC173">
        <v>6.2</v>
      </c>
      <c r="BD173">
        <v>5.8</v>
      </c>
      <c r="BE173">
        <v>6.2</v>
      </c>
    </row>
    <row r="174" spans="1:57" x14ac:dyDescent="0.25">
      <c r="A174" t="s">
        <v>835</v>
      </c>
      <c r="B174">
        <v>121</v>
      </c>
      <c r="C174" t="s">
        <v>388</v>
      </c>
      <c r="D174">
        <v>2</v>
      </c>
      <c r="E174" t="s">
        <v>146</v>
      </c>
      <c r="F174" t="s">
        <v>383</v>
      </c>
      <c r="G174">
        <v>741.5</v>
      </c>
      <c r="H174">
        <v>0</v>
      </c>
      <c r="I174">
        <v>1</v>
      </c>
      <c r="J174">
        <v>0</v>
      </c>
      <c r="K174" t="s">
        <v>260</v>
      </c>
      <c r="L174" t="s">
        <v>1079</v>
      </c>
      <c r="M174" t="s">
        <v>1079</v>
      </c>
      <c r="P174" t="s">
        <v>348</v>
      </c>
      <c r="Q174">
        <v>4.7</v>
      </c>
      <c r="R174">
        <v>7.5339999999999998</v>
      </c>
      <c r="S174">
        <v>4.45</v>
      </c>
      <c r="T174">
        <v>9.1199999999999992</v>
      </c>
      <c r="U174">
        <v>4.7</v>
      </c>
      <c r="V174">
        <v>103.1</v>
      </c>
      <c r="W174">
        <v>99.2</v>
      </c>
      <c r="X174">
        <v>3.1</v>
      </c>
      <c r="Y174">
        <v>-3</v>
      </c>
      <c r="Z174">
        <v>0.7</v>
      </c>
      <c r="AB174">
        <v>4.3</v>
      </c>
      <c r="AC174">
        <v>167</v>
      </c>
      <c r="AD174">
        <v>0.78</v>
      </c>
      <c r="AE174">
        <v>116</v>
      </c>
      <c r="AF174" t="s">
        <v>780</v>
      </c>
      <c r="AG174">
        <v>2.6</v>
      </c>
      <c r="AK174">
        <v>5.5</v>
      </c>
      <c r="AM174">
        <v>100.2</v>
      </c>
      <c r="AN174">
        <v>23</v>
      </c>
      <c r="AO174">
        <v>27.3</v>
      </c>
      <c r="AP174">
        <v>10.1</v>
      </c>
      <c r="AQ174">
        <v>5.2</v>
      </c>
      <c r="AR174">
        <v>0.84</v>
      </c>
      <c r="AS174">
        <v>28.1</v>
      </c>
      <c r="AU174">
        <v>65.3</v>
      </c>
      <c r="AV174">
        <v>23.2</v>
      </c>
      <c r="AW174">
        <v>7474</v>
      </c>
      <c r="AX174" t="s">
        <v>1108</v>
      </c>
      <c r="AY174" t="s">
        <v>1424</v>
      </c>
      <c r="AZ174">
        <v>338</v>
      </c>
      <c r="BA174">
        <v>29.2</v>
      </c>
      <c r="BB174">
        <v>5.2</v>
      </c>
      <c r="BC174">
        <v>5.5</v>
      </c>
    </row>
    <row r="175" spans="1:57" x14ac:dyDescent="0.25">
      <c r="A175" t="s">
        <v>824</v>
      </c>
      <c r="B175">
        <v>127</v>
      </c>
      <c r="C175" t="s">
        <v>389</v>
      </c>
      <c r="D175">
        <v>2</v>
      </c>
      <c r="E175" t="s">
        <v>146</v>
      </c>
      <c r="F175" t="s">
        <v>383</v>
      </c>
      <c r="G175">
        <v>1281</v>
      </c>
      <c r="H175">
        <v>0</v>
      </c>
      <c r="I175">
        <v>1</v>
      </c>
      <c r="J175">
        <v>0</v>
      </c>
      <c r="K175" t="s">
        <v>254</v>
      </c>
      <c r="L175" t="s">
        <v>1079</v>
      </c>
      <c r="M175" t="s">
        <v>1079</v>
      </c>
      <c r="P175" t="s">
        <v>350</v>
      </c>
      <c r="Q175">
        <v>4.2</v>
      </c>
      <c r="R175">
        <v>7.5049999999999999</v>
      </c>
      <c r="S175">
        <v>5.29</v>
      </c>
      <c r="T175">
        <v>3.47</v>
      </c>
      <c r="U175">
        <v>4.2</v>
      </c>
      <c r="V175">
        <v>67.900000000000006</v>
      </c>
      <c r="W175">
        <v>65.7</v>
      </c>
      <c r="X175">
        <v>2.5</v>
      </c>
      <c r="Y175">
        <v>31.1</v>
      </c>
      <c r="Z175">
        <v>0.7</v>
      </c>
      <c r="AB175">
        <v>4</v>
      </c>
      <c r="AC175">
        <v>199</v>
      </c>
      <c r="AD175">
        <v>0.56999999999999995</v>
      </c>
      <c r="AE175">
        <v>135</v>
      </c>
      <c r="AF175" t="s">
        <v>956</v>
      </c>
      <c r="AG175">
        <v>1.6</v>
      </c>
      <c r="AI175">
        <v>6.3</v>
      </c>
      <c r="AJ175">
        <v>2.57</v>
      </c>
      <c r="AK175">
        <v>8.1999999999999993</v>
      </c>
      <c r="AL175">
        <v>31</v>
      </c>
      <c r="AM175">
        <v>100.3</v>
      </c>
      <c r="AN175">
        <v>32.299999999999997</v>
      </c>
      <c r="AO175">
        <v>36.299999999999997</v>
      </c>
      <c r="AP175">
        <v>9.1999999999999993</v>
      </c>
      <c r="AQ175">
        <v>7.5</v>
      </c>
      <c r="AR175">
        <v>0.61</v>
      </c>
      <c r="AS175">
        <v>31.3</v>
      </c>
      <c r="AT175">
        <v>67.599999999999994</v>
      </c>
      <c r="AU175">
        <v>72.900000000000006</v>
      </c>
      <c r="AV175">
        <v>20.9</v>
      </c>
      <c r="AW175">
        <v>7503</v>
      </c>
      <c r="AX175" t="s">
        <v>1422</v>
      </c>
      <c r="AY175" t="s">
        <v>1423</v>
      </c>
      <c r="AZ175">
        <v>402.1</v>
      </c>
      <c r="BA175">
        <v>31.3</v>
      </c>
      <c r="BB175">
        <v>7.5</v>
      </c>
      <c r="BC175">
        <v>8.1999999999999993</v>
      </c>
      <c r="BD175">
        <v>7.1</v>
      </c>
      <c r="BE175">
        <v>7.9</v>
      </c>
    </row>
    <row r="176" spans="1:57" x14ac:dyDescent="0.25">
      <c r="A176" t="s">
        <v>828</v>
      </c>
      <c r="B176">
        <v>139</v>
      </c>
      <c r="C176" t="s">
        <v>390</v>
      </c>
      <c r="D176">
        <v>2</v>
      </c>
      <c r="E176" t="s">
        <v>146</v>
      </c>
      <c r="F176" t="s">
        <v>383</v>
      </c>
      <c r="G176">
        <v>1111</v>
      </c>
      <c r="H176">
        <v>0</v>
      </c>
      <c r="I176">
        <v>1</v>
      </c>
      <c r="J176">
        <v>0</v>
      </c>
      <c r="K176" t="s">
        <v>246</v>
      </c>
      <c r="L176" t="s">
        <v>1079</v>
      </c>
      <c r="M176" t="s">
        <v>1079</v>
      </c>
      <c r="P176" t="s">
        <v>352</v>
      </c>
      <c r="Q176">
        <v>4.7</v>
      </c>
      <c r="R176">
        <v>7.5919999999999996</v>
      </c>
      <c r="S176">
        <v>4.32</v>
      </c>
      <c r="T176">
        <v>6.44</v>
      </c>
      <c r="U176">
        <v>4.7</v>
      </c>
      <c r="V176">
        <v>101.1</v>
      </c>
      <c r="W176">
        <v>97</v>
      </c>
      <c r="X176">
        <v>3.3</v>
      </c>
      <c r="Y176">
        <v>-1.1000000000000001</v>
      </c>
      <c r="Z176">
        <v>0.8</v>
      </c>
      <c r="AB176">
        <v>4.2</v>
      </c>
      <c r="AC176">
        <v>156</v>
      </c>
      <c r="AD176">
        <v>1.07</v>
      </c>
      <c r="AE176">
        <v>107</v>
      </c>
      <c r="AF176" t="s">
        <v>950</v>
      </c>
      <c r="AG176">
        <v>2.4</v>
      </c>
      <c r="AI176">
        <v>10.199999999999999</v>
      </c>
      <c r="AJ176">
        <v>2.78</v>
      </c>
      <c r="AK176">
        <v>9.5</v>
      </c>
      <c r="AL176">
        <v>32.700000000000003</v>
      </c>
      <c r="AM176">
        <v>100.3</v>
      </c>
      <c r="AN176">
        <v>17</v>
      </c>
      <c r="AO176">
        <v>21.2</v>
      </c>
      <c r="AP176">
        <v>10.1</v>
      </c>
      <c r="AQ176">
        <v>8.9</v>
      </c>
      <c r="AR176">
        <v>1.19</v>
      </c>
      <c r="AS176">
        <v>31.2</v>
      </c>
      <c r="AT176">
        <v>65.8</v>
      </c>
      <c r="AU176">
        <v>72.099999999999994</v>
      </c>
      <c r="AV176">
        <v>23.2</v>
      </c>
      <c r="AW176">
        <v>7520</v>
      </c>
      <c r="AX176" t="s">
        <v>1431</v>
      </c>
      <c r="AY176" t="s">
        <v>1432</v>
      </c>
      <c r="AZ176">
        <v>313.7</v>
      </c>
      <c r="BA176">
        <v>25.6</v>
      </c>
      <c r="BB176">
        <v>8.9</v>
      </c>
      <c r="BC176">
        <v>9.5</v>
      </c>
      <c r="BD176">
        <v>8.9</v>
      </c>
      <c r="BE176">
        <v>9.5</v>
      </c>
    </row>
    <row r="177" spans="1:57" x14ac:dyDescent="0.25">
      <c r="A177" t="s">
        <v>635</v>
      </c>
      <c r="B177">
        <v>122</v>
      </c>
      <c r="C177" t="s">
        <v>384</v>
      </c>
      <c r="D177">
        <v>2</v>
      </c>
      <c r="E177" t="s">
        <v>40</v>
      </c>
      <c r="F177" t="s">
        <v>383</v>
      </c>
      <c r="G177">
        <v>1340.4</v>
      </c>
      <c r="H177">
        <v>0</v>
      </c>
      <c r="I177">
        <v>1</v>
      </c>
      <c r="J177">
        <v>1</v>
      </c>
      <c r="K177" t="s">
        <v>278</v>
      </c>
      <c r="L177" t="s">
        <v>1079</v>
      </c>
      <c r="M177" t="s">
        <v>1079</v>
      </c>
      <c r="P177" t="s">
        <v>354</v>
      </c>
      <c r="Q177">
        <v>5.8</v>
      </c>
      <c r="R177">
        <v>7.569</v>
      </c>
      <c r="S177">
        <v>4.49</v>
      </c>
      <c r="T177">
        <v>9.08</v>
      </c>
      <c r="U177">
        <v>5.8</v>
      </c>
      <c r="V177">
        <v>98.5</v>
      </c>
      <c r="W177">
        <v>97.4</v>
      </c>
      <c r="X177">
        <v>1</v>
      </c>
      <c r="Y177">
        <v>1.5</v>
      </c>
      <c r="Z177">
        <v>0.1</v>
      </c>
      <c r="AB177">
        <v>3.7</v>
      </c>
      <c r="AC177">
        <v>145</v>
      </c>
      <c r="AD177">
        <v>0.91</v>
      </c>
      <c r="AE177">
        <v>105</v>
      </c>
      <c r="AF177" t="s">
        <v>1353</v>
      </c>
      <c r="AG177">
        <v>1.9</v>
      </c>
      <c r="AI177">
        <v>12.9</v>
      </c>
      <c r="AJ177">
        <v>2.37</v>
      </c>
      <c r="AK177">
        <v>8.6999999999999993</v>
      </c>
      <c r="AL177">
        <v>32.1</v>
      </c>
      <c r="AM177">
        <v>100.2</v>
      </c>
      <c r="AN177">
        <v>9.5</v>
      </c>
      <c r="AO177">
        <v>13.2</v>
      </c>
      <c r="AP177">
        <v>12.9</v>
      </c>
      <c r="AQ177">
        <v>8.3000000000000007</v>
      </c>
      <c r="AR177">
        <v>1</v>
      </c>
      <c r="AS177">
        <v>30.8</v>
      </c>
      <c r="AT177">
        <v>63.6</v>
      </c>
      <c r="AU177">
        <v>71.2</v>
      </c>
      <c r="AV177">
        <v>28.8</v>
      </c>
      <c r="AW177">
        <v>7512</v>
      </c>
      <c r="AX177" t="s">
        <v>1354</v>
      </c>
      <c r="AY177" t="s">
        <v>1355</v>
      </c>
      <c r="AZ177">
        <v>300.7</v>
      </c>
      <c r="BA177">
        <v>27</v>
      </c>
      <c r="BB177">
        <v>8.3000000000000007</v>
      </c>
      <c r="BC177">
        <v>8.6999999999999993</v>
      </c>
      <c r="BD177">
        <v>8.3000000000000007</v>
      </c>
      <c r="BE177">
        <v>8.6999999999999993</v>
      </c>
    </row>
    <row r="178" spans="1:57" x14ac:dyDescent="0.25">
      <c r="A178" t="s">
        <v>759</v>
      </c>
      <c r="B178">
        <v>116</v>
      </c>
      <c r="C178" t="s">
        <v>387</v>
      </c>
      <c r="D178">
        <v>2</v>
      </c>
      <c r="E178" t="s">
        <v>142</v>
      </c>
      <c r="F178" t="s">
        <v>382</v>
      </c>
      <c r="G178">
        <v>1270</v>
      </c>
      <c r="H178">
        <v>1</v>
      </c>
      <c r="I178">
        <v>1</v>
      </c>
      <c r="J178">
        <v>0</v>
      </c>
      <c r="K178" t="s">
        <v>262</v>
      </c>
      <c r="L178" t="s">
        <v>1079</v>
      </c>
      <c r="M178" t="s">
        <v>1079</v>
      </c>
      <c r="P178" t="s">
        <v>356</v>
      </c>
      <c r="Q178">
        <v>5.8</v>
      </c>
      <c r="R178">
        <v>7.4290000000000003</v>
      </c>
      <c r="S178">
        <v>6.2</v>
      </c>
      <c r="T178">
        <v>7.52</v>
      </c>
      <c r="U178">
        <v>5.8</v>
      </c>
      <c r="V178">
        <v>95.7</v>
      </c>
      <c r="W178">
        <v>94.6</v>
      </c>
      <c r="X178">
        <v>1</v>
      </c>
      <c r="Y178">
        <v>4.3</v>
      </c>
      <c r="Z178">
        <v>0.1</v>
      </c>
      <c r="AB178">
        <v>4</v>
      </c>
      <c r="AC178">
        <v>185</v>
      </c>
      <c r="AD178">
        <v>1.03</v>
      </c>
      <c r="AE178">
        <v>120</v>
      </c>
      <c r="AF178" t="s">
        <v>970</v>
      </c>
      <c r="AG178">
        <v>1.2</v>
      </c>
      <c r="AI178">
        <v>12.4</v>
      </c>
      <c r="AJ178">
        <v>2.27</v>
      </c>
      <c r="AK178">
        <v>6.4</v>
      </c>
      <c r="AL178">
        <v>29.6</v>
      </c>
      <c r="AM178">
        <v>100.2</v>
      </c>
      <c r="AN178">
        <v>33.9</v>
      </c>
      <c r="AO178">
        <v>37.9</v>
      </c>
      <c r="AP178">
        <v>12.7</v>
      </c>
      <c r="AQ178">
        <v>5.7</v>
      </c>
      <c r="AR178">
        <v>1.05</v>
      </c>
      <c r="AS178">
        <v>30.8</v>
      </c>
      <c r="AT178">
        <v>64.900000000000006</v>
      </c>
      <c r="AU178">
        <v>72.2</v>
      </c>
      <c r="AV178">
        <v>28.4</v>
      </c>
      <c r="AW178">
        <v>7478</v>
      </c>
      <c r="AX178" t="s">
        <v>1400</v>
      </c>
      <c r="AY178" t="s">
        <v>1401</v>
      </c>
      <c r="AZ178">
        <v>372.9</v>
      </c>
      <c r="BA178">
        <v>37.200000000000003</v>
      </c>
      <c r="BB178">
        <v>5.7</v>
      </c>
      <c r="BC178">
        <v>6.4</v>
      </c>
      <c r="BD178">
        <v>5.7</v>
      </c>
      <c r="BE178">
        <v>6.4</v>
      </c>
    </row>
    <row r="179" spans="1:57" x14ac:dyDescent="0.25">
      <c r="A179" t="s">
        <v>959</v>
      </c>
      <c r="B179">
        <v>120</v>
      </c>
      <c r="C179" t="s">
        <v>202</v>
      </c>
      <c r="D179">
        <v>2</v>
      </c>
      <c r="E179" t="s">
        <v>142</v>
      </c>
      <c r="F179" t="s">
        <v>383</v>
      </c>
      <c r="G179">
        <v>1180.8</v>
      </c>
      <c r="H179">
        <v>1</v>
      </c>
      <c r="I179">
        <v>1</v>
      </c>
      <c r="J179">
        <v>0</v>
      </c>
      <c r="K179" t="s">
        <v>282</v>
      </c>
      <c r="L179" t="s">
        <v>1079</v>
      </c>
      <c r="M179" t="s">
        <v>1079</v>
      </c>
      <c r="P179" t="s">
        <v>321</v>
      </c>
      <c r="Q179">
        <v>5.8</v>
      </c>
      <c r="R179">
        <v>7.4820000000000002</v>
      </c>
      <c r="S179">
        <v>5.52</v>
      </c>
      <c r="T179">
        <v>5.67</v>
      </c>
      <c r="U179">
        <v>5.8</v>
      </c>
      <c r="V179">
        <v>91.6</v>
      </c>
      <c r="W179">
        <v>90.4</v>
      </c>
      <c r="X179">
        <v>1.2</v>
      </c>
      <c r="Y179">
        <v>8.3000000000000007</v>
      </c>
      <c r="Z179">
        <v>0.1</v>
      </c>
      <c r="AB179">
        <v>4.3</v>
      </c>
      <c r="AC179">
        <v>143</v>
      </c>
      <c r="AD179">
        <v>1.4</v>
      </c>
      <c r="AE179">
        <v>101</v>
      </c>
      <c r="AF179" t="s">
        <v>696</v>
      </c>
      <c r="AG179">
        <v>1</v>
      </c>
      <c r="AI179">
        <v>11.9</v>
      </c>
      <c r="AJ179">
        <v>2.25</v>
      </c>
      <c r="AK179">
        <v>7.5</v>
      </c>
      <c r="AL179">
        <v>30.6</v>
      </c>
      <c r="AM179">
        <v>100.2</v>
      </c>
      <c r="AN179">
        <v>10.8</v>
      </c>
      <c r="AO179">
        <v>15</v>
      </c>
      <c r="AP179">
        <v>12.8</v>
      </c>
      <c r="AQ179">
        <v>6.8</v>
      </c>
      <c r="AR179">
        <v>1.46</v>
      </c>
      <c r="AS179">
        <v>30.9</v>
      </c>
      <c r="AT179">
        <v>64.8</v>
      </c>
      <c r="AU179">
        <v>72.2</v>
      </c>
      <c r="AV179">
        <v>28.6</v>
      </c>
      <c r="AW179">
        <v>7493</v>
      </c>
      <c r="AX179" t="s">
        <v>722</v>
      </c>
      <c r="AY179" t="s">
        <v>1021</v>
      </c>
      <c r="AZ179">
        <v>288.60000000000002</v>
      </c>
      <c r="BA179">
        <v>33</v>
      </c>
      <c r="BB179">
        <v>6.8</v>
      </c>
      <c r="BC179">
        <v>7.5</v>
      </c>
      <c r="BD179">
        <v>6.7</v>
      </c>
      <c r="BE179">
        <v>7.4</v>
      </c>
    </row>
    <row r="180" spans="1:57" x14ac:dyDescent="0.25">
      <c r="A180" t="s">
        <v>724</v>
      </c>
      <c r="B180">
        <v>137</v>
      </c>
      <c r="C180" t="s">
        <v>175</v>
      </c>
      <c r="D180">
        <v>2</v>
      </c>
      <c r="E180" t="s">
        <v>71</v>
      </c>
      <c r="F180" t="s">
        <v>382</v>
      </c>
      <c r="G180">
        <v>1275</v>
      </c>
      <c r="H180">
        <v>0</v>
      </c>
      <c r="I180">
        <v>0</v>
      </c>
      <c r="J180">
        <v>0</v>
      </c>
      <c r="K180" t="s">
        <v>266</v>
      </c>
      <c r="L180" t="s">
        <v>1079</v>
      </c>
      <c r="M180" t="s">
        <v>1079</v>
      </c>
      <c r="P180" t="s">
        <v>339</v>
      </c>
      <c r="Q180">
        <v>6.3</v>
      </c>
      <c r="R180">
        <v>7.508</v>
      </c>
      <c r="S180">
        <v>5.09</v>
      </c>
      <c r="T180">
        <v>6.92</v>
      </c>
      <c r="U180">
        <v>6.3</v>
      </c>
      <c r="V180">
        <v>96.7</v>
      </c>
      <c r="W180">
        <v>95.2</v>
      </c>
      <c r="X180">
        <v>1.4</v>
      </c>
      <c r="Y180">
        <v>3.3</v>
      </c>
      <c r="Z180">
        <v>0.1</v>
      </c>
      <c r="AB180">
        <v>4.5</v>
      </c>
      <c r="AC180">
        <v>166</v>
      </c>
      <c r="AD180">
        <v>0.87</v>
      </c>
      <c r="AE180">
        <v>112</v>
      </c>
      <c r="AF180" t="s">
        <v>999</v>
      </c>
      <c r="AG180">
        <v>1.3</v>
      </c>
      <c r="AI180">
        <v>13.7</v>
      </c>
      <c r="AJ180">
        <v>1.76</v>
      </c>
      <c r="AK180">
        <v>7.3</v>
      </c>
      <c r="AL180">
        <v>30.6</v>
      </c>
      <c r="AM180">
        <v>100.2</v>
      </c>
      <c r="AN180">
        <v>23.7</v>
      </c>
      <c r="AO180">
        <v>28.2</v>
      </c>
      <c r="AP180">
        <v>14</v>
      </c>
      <c r="AQ180">
        <v>6.8</v>
      </c>
      <c r="AR180">
        <v>0.93</v>
      </c>
      <c r="AS180">
        <v>30.3</v>
      </c>
      <c r="AT180">
        <v>62.5</v>
      </c>
      <c r="AU180">
        <v>70.599999999999994</v>
      </c>
      <c r="AV180">
        <v>31.3</v>
      </c>
      <c r="AW180">
        <v>7493</v>
      </c>
      <c r="AX180" t="s">
        <v>1363</v>
      </c>
      <c r="AY180" t="s">
        <v>1364</v>
      </c>
      <c r="AZ180">
        <v>336.6</v>
      </c>
      <c r="BA180">
        <v>31</v>
      </c>
      <c r="BB180">
        <v>6.8</v>
      </c>
      <c r="BC180">
        <v>7.3</v>
      </c>
      <c r="BD180">
        <v>6.7</v>
      </c>
      <c r="BE180">
        <v>7.2</v>
      </c>
    </row>
    <row r="181" spans="1:57" x14ac:dyDescent="0.25">
      <c r="A181" t="s">
        <v>851</v>
      </c>
      <c r="B181">
        <v>130</v>
      </c>
      <c r="C181" t="s">
        <v>145</v>
      </c>
      <c r="D181">
        <v>2</v>
      </c>
      <c r="E181" t="s">
        <v>146</v>
      </c>
      <c r="F181" t="s">
        <v>383</v>
      </c>
      <c r="G181">
        <v>902</v>
      </c>
      <c r="H181">
        <v>0</v>
      </c>
      <c r="I181">
        <v>1</v>
      </c>
      <c r="J181">
        <v>0</v>
      </c>
      <c r="K181" t="s">
        <v>288</v>
      </c>
      <c r="L181" t="s">
        <v>1079</v>
      </c>
      <c r="M181" t="s">
        <v>1079</v>
      </c>
      <c r="P181" t="s">
        <v>319</v>
      </c>
      <c r="Q181">
        <v>7.1</v>
      </c>
      <c r="R181">
        <v>7.6059999999999999</v>
      </c>
      <c r="S181">
        <v>3.87</v>
      </c>
      <c r="T181">
        <v>10.3</v>
      </c>
      <c r="U181">
        <v>7.1</v>
      </c>
      <c r="V181">
        <v>99.7</v>
      </c>
      <c r="W181">
        <v>99.1</v>
      </c>
      <c r="X181">
        <v>0.6</v>
      </c>
      <c r="Y181">
        <v>0.3</v>
      </c>
      <c r="Z181">
        <v>0</v>
      </c>
      <c r="AB181">
        <v>4.8</v>
      </c>
      <c r="AC181">
        <v>146</v>
      </c>
      <c r="AD181">
        <v>1.07</v>
      </c>
      <c r="AE181">
        <v>101</v>
      </c>
      <c r="AF181" t="s">
        <v>1415</v>
      </c>
      <c r="AG181">
        <v>2.2000000000000002</v>
      </c>
      <c r="AI181">
        <v>15.9</v>
      </c>
      <c r="AJ181">
        <v>2.2200000000000002</v>
      </c>
      <c r="AK181">
        <v>7.4</v>
      </c>
      <c r="AL181">
        <v>31.4</v>
      </c>
      <c r="AM181">
        <v>100.2</v>
      </c>
      <c r="AN181">
        <v>16.600000000000001</v>
      </c>
      <c r="AO181">
        <v>21.5</v>
      </c>
      <c r="AP181">
        <v>15.7</v>
      </c>
      <c r="AQ181">
        <v>7.6</v>
      </c>
      <c r="AR181">
        <v>1.2</v>
      </c>
      <c r="AS181">
        <v>28.9</v>
      </c>
      <c r="AT181">
        <v>57.9</v>
      </c>
      <c r="AU181">
        <v>66.7</v>
      </c>
      <c r="AV181">
        <v>34.799999999999997</v>
      </c>
      <c r="AW181">
        <v>7503</v>
      </c>
      <c r="AX181" t="s">
        <v>1416</v>
      </c>
      <c r="AY181" t="s">
        <v>1417</v>
      </c>
      <c r="AZ181">
        <v>298.7</v>
      </c>
      <c r="BA181">
        <v>24.8</v>
      </c>
      <c r="BB181">
        <v>7.6</v>
      </c>
      <c r="BC181">
        <v>7.4</v>
      </c>
      <c r="BD181">
        <v>7.6</v>
      </c>
      <c r="BE181">
        <v>7.4</v>
      </c>
    </row>
    <row r="182" spans="1:57" x14ac:dyDescent="0.25">
      <c r="A182" t="s">
        <v>643</v>
      </c>
      <c r="B182">
        <v>150</v>
      </c>
      <c r="C182" t="s">
        <v>36</v>
      </c>
      <c r="D182">
        <v>3</v>
      </c>
      <c r="E182" t="s">
        <v>40</v>
      </c>
      <c r="F182" t="s">
        <v>382</v>
      </c>
      <c r="G182">
        <v>725</v>
      </c>
      <c r="H182">
        <v>0</v>
      </c>
      <c r="I182">
        <v>1</v>
      </c>
      <c r="J182">
        <v>1</v>
      </c>
      <c r="K182" t="s">
        <v>496</v>
      </c>
      <c r="L182" t="s">
        <v>1079</v>
      </c>
      <c r="M182" t="s">
        <v>1079</v>
      </c>
      <c r="P182" t="s">
        <v>317</v>
      </c>
      <c r="Q182">
        <v>5.2</v>
      </c>
      <c r="R182">
        <v>7.4189999999999996</v>
      </c>
      <c r="S182">
        <v>5.69</v>
      </c>
      <c r="T182">
        <v>31.7</v>
      </c>
      <c r="U182">
        <v>5.2</v>
      </c>
      <c r="V182">
        <v>101.7</v>
      </c>
      <c r="W182">
        <v>100.5</v>
      </c>
      <c r="X182">
        <v>1</v>
      </c>
      <c r="Y182">
        <v>-1.7</v>
      </c>
      <c r="Z182">
        <v>0.2</v>
      </c>
      <c r="AB182">
        <v>3.5</v>
      </c>
      <c r="AC182">
        <v>145</v>
      </c>
      <c r="AD182">
        <v>1.47</v>
      </c>
      <c r="AE182">
        <v>106</v>
      </c>
      <c r="AF182" t="s">
        <v>1345</v>
      </c>
      <c r="AG182">
        <v>1.9</v>
      </c>
      <c r="AI182">
        <v>12.2</v>
      </c>
      <c r="AJ182">
        <v>2.81</v>
      </c>
      <c r="AK182">
        <v>3.1</v>
      </c>
      <c r="AL182">
        <v>26.9</v>
      </c>
      <c r="AM182">
        <v>100.6</v>
      </c>
      <c r="AN182">
        <v>10.9</v>
      </c>
      <c r="AO182">
        <v>14.3</v>
      </c>
      <c r="AP182">
        <v>11.4</v>
      </c>
      <c r="AQ182">
        <v>2.8</v>
      </c>
      <c r="AR182">
        <v>1.48</v>
      </c>
      <c r="AS182">
        <v>27.6</v>
      </c>
      <c r="AT182">
        <v>58.9</v>
      </c>
      <c r="AU182">
        <v>64.7</v>
      </c>
      <c r="AV182">
        <v>25.5</v>
      </c>
      <c r="AW182">
        <v>7440</v>
      </c>
      <c r="AX182" t="s">
        <v>1346</v>
      </c>
      <c r="AY182" t="s">
        <v>1347</v>
      </c>
      <c r="AZ182">
        <v>309.10000000000002</v>
      </c>
      <c r="BA182">
        <v>38.1</v>
      </c>
      <c r="BB182">
        <v>2.8</v>
      </c>
      <c r="BC182">
        <v>3.1</v>
      </c>
      <c r="BD182">
        <v>2.8</v>
      </c>
      <c r="BE182">
        <v>3.1</v>
      </c>
    </row>
    <row r="183" spans="1:57" x14ac:dyDescent="0.25">
      <c r="A183" t="s">
        <v>751</v>
      </c>
      <c r="B183">
        <v>149</v>
      </c>
      <c r="C183" t="s">
        <v>586</v>
      </c>
      <c r="D183">
        <v>3</v>
      </c>
      <c r="E183" t="s">
        <v>142</v>
      </c>
      <c r="F183" t="s">
        <v>383</v>
      </c>
      <c r="G183">
        <v>847</v>
      </c>
      <c r="H183">
        <v>1</v>
      </c>
      <c r="I183">
        <v>1</v>
      </c>
      <c r="J183">
        <v>0</v>
      </c>
      <c r="K183" t="s">
        <v>489</v>
      </c>
      <c r="L183" t="s">
        <v>1079</v>
      </c>
      <c r="M183" t="s">
        <v>1079</v>
      </c>
      <c r="P183" t="s">
        <v>490</v>
      </c>
      <c r="Q183">
        <v>5.2</v>
      </c>
      <c r="R183">
        <v>7.3760000000000003</v>
      </c>
      <c r="S183">
        <v>7.05</v>
      </c>
      <c r="T183">
        <v>26.2</v>
      </c>
      <c r="U183">
        <v>5.2</v>
      </c>
      <c r="V183">
        <v>101.2</v>
      </c>
      <c r="W183">
        <v>100.1</v>
      </c>
      <c r="X183">
        <v>0.9</v>
      </c>
      <c r="Y183">
        <v>-1.2</v>
      </c>
      <c r="Z183">
        <v>0.2</v>
      </c>
      <c r="AB183">
        <v>3.9</v>
      </c>
      <c r="AC183">
        <v>147</v>
      </c>
      <c r="AD183">
        <v>1.1100000000000001</v>
      </c>
      <c r="AE183">
        <v>105</v>
      </c>
      <c r="AF183" t="s">
        <v>780</v>
      </c>
      <c r="AG183">
        <v>1</v>
      </c>
      <c r="AI183">
        <v>12.2</v>
      </c>
      <c r="AJ183">
        <v>2.92</v>
      </c>
      <c r="AK183">
        <v>5.8</v>
      </c>
      <c r="AL183">
        <v>29</v>
      </c>
      <c r="AM183">
        <v>100.6</v>
      </c>
      <c r="AN183">
        <v>10.4</v>
      </c>
      <c r="AO183">
        <v>14.2</v>
      </c>
      <c r="AP183">
        <v>11.6</v>
      </c>
      <c r="AQ183">
        <v>5</v>
      </c>
      <c r="AR183">
        <v>1.1000000000000001</v>
      </c>
      <c r="AS183">
        <v>30.9</v>
      </c>
      <c r="AT183">
        <v>66.400000000000006</v>
      </c>
      <c r="AU183">
        <v>73</v>
      </c>
      <c r="AV183">
        <v>25.8</v>
      </c>
      <c r="AW183">
        <v>7467</v>
      </c>
      <c r="AX183" t="s">
        <v>1380</v>
      </c>
      <c r="AY183" t="s">
        <v>1381</v>
      </c>
      <c r="AZ183">
        <v>296.3</v>
      </c>
      <c r="BA183">
        <v>42.1</v>
      </c>
      <c r="BB183">
        <v>5</v>
      </c>
      <c r="BC183">
        <v>5.8</v>
      </c>
      <c r="BD183">
        <v>5</v>
      </c>
      <c r="BE183">
        <v>5.8</v>
      </c>
    </row>
    <row r="184" spans="1:57" x14ac:dyDescent="0.25">
      <c r="A184" t="s">
        <v>659</v>
      </c>
      <c r="B184">
        <v>143</v>
      </c>
      <c r="C184" t="s">
        <v>39</v>
      </c>
      <c r="D184">
        <v>3</v>
      </c>
      <c r="E184" t="s">
        <v>40</v>
      </c>
      <c r="F184" t="s">
        <v>382</v>
      </c>
      <c r="G184">
        <v>794</v>
      </c>
      <c r="H184">
        <v>0</v>
      </c>
      <c r="I184">
        <v>1</v>
      </c>
      <c r="J184">
        <v>1</v>
      </c>
      <c r="K184" t="s">
        <v>501</v>
      </c>
      <c r="L184" t="s">
        <v>1079</v>
      </c>
      <c r="M184" t="s">
        <v>1079</v>
      </c>
      <c r="O184">
        <v>1</v>
      </c>
      <c r="P184" t="s">
        <v>91</v>
      </c>
      <c r="Q184">
        <v>5.4</v>
      </c>
      <c r="R184">
        <v>7.2569999999999997</v>
      </c>
      <c r="S184">
        <v>8.5500000000000007</v>
      </c>
      <c r="T184">
        <v>3.75</v>
      </c>
      <c r="U184">
        <v>5.4</v>
      </c>
      <c r="V184">
        <v>59.9</v>
      </c>
      <c r="W184">
        <v>58.6</v>
      </c>
      <c r="X184">
        <v>1.5</v>
      </c>
      <c r="Y184">
        <v>39.299999999999997</v>
      </c>
      <c r="Z184">
        <v>0.6</v>
      </c>
      <c r="AB184">
        <v>3.6</v>
      </c>
      <c r="AC184">
        <v>143</v>
      </c>
      <c r="AD184">
        <v>1.35</v>
      </c>
      <c r="AE184">
        <v>101</v>
      </c>
      <c r="AF184" t="s">
        <v>807</v>
      </c>
      <c r="AG184">
        <v>1.8</v>
      </c>
      <c r="AI184">
        <v>7.1</v>
      </c>
      <c r="AJ184">
        <v>3.22</v>
      </c>
      <c r="AK184">
        <v>1.4</v>
      </c>
      <c r="AL184">
        <v>24.6</v>
      </c>
      <c r="AM184">
        <v>100.6</v>
      </c>
      <c r="AN184">
        <v>13.4</v>
      </c>
      <c r="AO184">
        <v>17</v>
      </c>
      <c r="AP184">
        <v>11.8</v>
      </c>
      <c r="AQ184">
        <v>0.8</v>
      </c>
      <c r="AR184">
        <v>1.24</v>
      </c>
      <c r="AS184">
        <v>28.6</v>
      </c>
      <c r="AT184">
        <v>63</v>
      </c>
      <c r="AU184">
        <v>68.400000000000006</v>
      </c>
      <c r="AV184">
        <v>26.5</v>
      </c>
      <c r="AW184">
        <v>7405</v>
      </c>
      <c r="AX184" t="s">
        <v>1344</v>
      </c>
      <c r="AY184" t="s">
        <v>868</v>
      </c>
      <c r="AZ184">
        <v>317.89999999999998</v>
      </c>
      <c r="BA184">
        <v>55.4</v>
      </c>
      <c r="BB184">
        <v>0.8</v>
      </c>
      <c r="BC184">
        <v>1.4</v>
      </c>
      <c r="BD184">
        <v>0.1</v>
      </c>
      <c r="BE184">
        <v>1.1000000000000001</v>
      </c>
    </row>
    <row r="185" spans="1:57" x14ac:dyDescent="0.25">
      <c r="A185" t="s">
        <v>731</v>
      </c>
      <c r="B185">
        <v>153</v>
      </c>
      <c r="C185" t="s">
        <v>584</v>
      </c>
      <c r="D185">
        <v>3</v>
      </c>
      <c r="E185" t="s">
        <v>142</v>
      </c>
      <c r="F185" t="s">
        <v>383</v>
      </c>
      <c r="G185">
        <v>777</v>
      </c>
      <c r="H185">
        <v>1</v>
      </c>
      <c r="I185">
        <v>1</v>
      </c>
      <c r="J185">
        <v>0</v>
      </c>
      <c r="K185" t="s">
        <v>513</v>
      </c>
      <c r="L185" t="s">
        <v>1079</v>
      </c>
      <c r="M185" t="s">
        <v>1079</v>
      </c>
      <c r="P185" t="s">
        <v>514</v>
      </c>
      <c r="Q185">
        <v>4.7</v>
      </c>
      <c r="R185">
        <v>7.5759999999999996</v>
      </c>
      <c r="S185">
        <v>4.5199999999999996</v>
      </c>
      <c r="T185">
        <v>20</v>
      </c>
      <c r="U185">
        <v>4.7</v>
      </c>
      <c r="V185">
        <v>105.7</v>
      </c>
      <c r="W185">
        <v>101.6</v>
      </c>
      <c r="X185">
        <v>3.2</v>
      </c>
      <c r="Y185">
        <v>-5.5</v>
      </c>
      <c r="Z185">
        <v>0.7</v>
      </c>
      <c r="AB185">
        <v>4.9000000000000004</v>
      </c>
      <c r="AC185">
        <v>142</v>
      </c>
      <c r="AD185">
        <v>1.17</v>
      </c>
      <c r="AE185">
        <v>104</v>
      </c>
      <c r="AF185" t="s">
        <v>1027</v>
      </c>
      <c r="AG185">
        <v>1.6</v>
      </c>
      <c r="AK185">
        <v>9.5</v>
      </c>
      <c r="AM185">
        <v>100.7</v>
      </c>
      <c r="AN185">
        <v>6.7</v>
      </c>
      <c r="AO185">
        <v>11.7</v>
      </c>
      <c r="AP185">
        <v>10.1</v>
      </c>
      <c r="AQ185">
        <v>8.9</v>
      </c>
      <c r="AR185">
        <v>1.28</v>
      </c>
      <c r="AS185">
        <v>31.5</v>
      </c>
      <c r="AU185">
        <v>72.900000000000006</v>
      </c>
      <c r="AV185">
        <v>23.2</v>
      </c>
      <c r="AW185">
        <v>7520</v>
      </c>
      <c r="AX185" t="s">
        <v>1373</v>
      </c>
      <c r="AY185" t="s">
        <v>1374</v>
      </c>
      <c r="AZ185">
        <v>286.60000000000002</v>
      </c>
      <c r="BA185">
        <v>26.5</v>
      </c>
      <c r="BB185">
        <v>8.9</v>
      </c>
      <c r="BC185">
        <v>9.5</v>
      </c>
    </row>
    <row r="186" spans="1:57" x14ac:dyDescent="0.25">
      <c r="A186" t="s">
        <v>639</v>
      </c>
      <c r="B186">
        <v>145</v>
      </c>
      <c r="C186" t="s">
        <v>45</v>
      </c>
      <c r="D186">
        <v>3</v>
      </c>
      <c r="E186" t="s">
        <v>40</v>
      </c>
      <c r="F186" t="s">
        <v>383</v>
      </c>
      <c r="G186">
        <v>949.7</v>
      </c>
      <c r="H186">
        <v>0</v>
      </c>
      <c r="I186">
        <v>1</v>
      </c>
      <c r="J186">
        <v>1</v>
      </c>
      <c r="K186" t="s">
        <v>511</v>
      </c>
      <c r="L186" t="s">
        <v>1079</v>
      </c>
      <c r="M186" t="s">
        <v>1079</v>
      </c>
      <c r="P186" t="s">
        <v>325</v>
      </c>
      <c r="Q186">
        <v>5.0999999999999996</v>
      </c>
      <c r="R186">
        <v>7.4790000000000001</v>
      </c>
      <c r="S186">
        <v>5.47</v>
      </c>
      <c r="T186">
        <v>6.66</v>
      </c>
      <c r="U186">
        <v>5.0999999999999996</v>
      </c>
      <c r="V186">
        <v>96</v>
      </c>
      <c r="W186">
        <v>94.5</v>
      </c>
      <c r="X186">
        <v>1.4</v>
      </c>
      <c r="Y186">
        <v>3.9</v>
      </c>
      <c r="Z186">
        <v>0.2</v>
      </c>
      <c r="AB186">
        <v>3.8</v>
      </c>
      <c r="AC186">
        <v>141</v>
      </c>
      <c r="AD186">
        <v>1.23</v>
      </c>
      <c r="AE186">
        <v>102</v>
      </c>
      <c r="AF186" t="s">
        <v>1324</v>
      </c>
      <c r="AG186">
        <v>1.8</v>
      </c>
      <c r="AI186">
        <v>11</v>
      </c>
      <c r="AJ186">
        <v>1.86</v>
      </c>
      <c r="AK186">
        <v>6.9</v>
      </c>
      <c r="AL186">
        <v>30.2</v>
      </c>
      <c r="AM186">
        <v>100.6</v>
      </c>
      <c r="AN186">
        <v>8.1</v>
      </c>
      <c r="AO186">
        <v>11.9</v>
      </c>
      <c r="AP186">
        <v>11.2</v>
      </c>
      <c r="AQ186">
        <v>6.4</v>
      </c>
      <c r="AR186">
        <v>1.28</v>
      </c>
      <c r="AS186">
        <v>30.5</v>
      </c>
      <c r="AT186">
        <v>64.599999999999994</v>
      </c>
      <c r="AU186">
        <v>71.099999999999994</v>
      </c>
      <c r="AV186">
        <v>25.2</v>
      </c>
      <c r="AW186">
        <v>7488</v>
      </c>
      <c r="AX186" t="s">
        <v>1325</v>
      </c>
      <c r="AY186" t="s">
        <v>831</v>
      </c>
      <c r="AZ186">
        <v>303.7</v>
      </c>
      <c r="BA186">
        <v>33.200000000000003</v>
      </c>
      <c r="BB186">
        <v>6.4</v>
      </c>
      <c r="BC186">
        <v>6.9</v>
      </c>
      <c r="BD186">
        <v>6.3</v>
      </c>
      <c r="BE186">
        <v>6.9</v>
      </c>
    </row>
    <row r="187" spans="1:57" x14ac:dyDescent="0.25">
      <c r="A187" t="s">
        <v>707</v>
      </c>
      <c r="B187">
        <v>164</v>
      </c>
      <c r="C187" t="s">
        <v>51</v>
      </c>
      <c r="D187">
        <v>3</v>
      </c>
      <c r="E187" t="s">
        <v>71</v>
      </c>
      <c r="F187" t="s">
        <v>382</v>
      </c>
      <c r="G187">
        <v>993</v>
      </c>
      <c r="H187">
        <v>0</v>
      </c>
      <c r="I187">
        <v>0</v>
      </c>
      <c r="J187">
        <v>0</v>
      </c>
      <c r="K187" t="s">
        <v>500</v>
      </c>
      <c r="L187" t="s">
        <v>1079</v>
      </c>
      <c r="M187" t="s">
        <v>1079</v>
      </c>
      <c r="P187" t="s">
        <v>95</v>
      </c>
      <c r="Q187">
        <v>5.0999999999999996</v>
      </c>
      <c r="R187">
        <v>7.4770000000000003</v>
      </c>
      <c r="S187">
        <v>5.66</v>
      </c>
      <c r="T187">
        <v>17</v>
      </c>
      <c r="U187">
        <v>5.0999999999999996</v>
      </c>
      <c r="V187">
        <v>101.2</v>
      </c>
      <c r="W187">
        <v>99.8</v>
      </c>
      <c r="X187">
        <v>1.2</v>
      </c>
      <c r="Y187">
        <v>-1.2</v>
      </c>
      <c r="Z187">
        <v>0.2</v>
      </c>
      <c r="AB187">
        <v>4.5</v>
      </c>
      <c r="AC187">
        <v>149</v>
      </c>
      <c r="AD187">
        <v>1.1399999999999999</v>
      </c>
      <c r="AE187">
        <v>105</v>
      </c>
      <c r="AF187" t="s">
        <v>844</v>
      </c>
      <c r="AG187">
        <v>1.1000000000000001</v>
      </c>
      <c r="AI187">
        <v>11.8</v>
      </c>
      <c r="AJ187">
        <v>2.65</v>
      </c>
      <c r="AK187">
        <v>7.8</v>
      </c>
      <c r="AL187">
        <v>31</v>
      </c>
      <c r="AM187">
        <v>100.6</v>
      </c>
      <c r="AN187">
        <v>13.2</v>
      </c>
      <c r="AO187">
        <v>17.7</v>
      </c>
      <c r="AP187">
        <v>11.4</v>
      </c>
      <c r="AQ187">
        <v>7.2</v>
      </c>
      <c r="AR187">
        <v>1.19</v>
      </c>
      <c r="AS187">
        <v>31.4</v>
      </c>
      <c r="AT187">
        <v>66.5</v>
      </c>
      <c r="AU187">
        <v>73.2</v>
      </c>
      <c r="AV187">
        <v>25.4</v>
      </c>
      <c r="AW187">
        <v>7497</v>
      </c>
      <c r="AX187" t="s">
        <v>1369</v>
      </c>
      <c r="AY187" t="s">
        <v>1370</v>
      </c>
      <c r="AZ187">
        <v>303</v>
      </c>
      <c r="BA187">
        <v>33.299999999999997</v>
      </c>
      <c r="BB187">
        <v>7.2</v>
      </c>
      <c r="BC187">
        <v>7.8</v>
      </c>
      <c r="BD187">
        <v>7.2</v>
      </c>
      <c r="BE187">
        <v>7.8</v>
      </c>
    </row>
    <row r="188" spans="1:57" x14ac:dyDescent="0.25">
      <c r="A188" t="s">
        <v>670</v>
      </c>
      <c r="B188">
        <v>148</v>
      </c>
      <c r="C188" t="s">
        <v>585</v>
      </c>
      <c r="D188">
        <v>3</v>
      </c>
      <c r="E188" t="s">
        <v>40</v>
      </c>
      <c r="F188" t="s">
        <v>383</v>
      </c>
      <c r="G188">
        <v>1159</v>
      </c>
      <c r="H188">
        <v>0</v>
      </c>
      <c r="I188">
        <v>1</v>
      </c>
      <c r="J188">
        <v>1</v>
      </c>
      <c r="K188" t="s">
        <v>491</v>
      </c>
      <c r="L188" t="s">
        <v>1079</v>
      </c>
      <c r="M188" t="s">
        <v>1079</v>
      </c>
      <c r="P188" t="s">
        <v>492</v>
      </c>
      <c r="Q188">
        <v>5.2</v>
      </c>
      <c r="R188">
        <v>7.452</v>
      </c>
      <c r="S188">
        <v>5.48</v>
      </c>
      <c r="T188">
        <v>8.39</v>
      </c>
      <c r="U188">
        <v>5.2</v>
      </c>
      <c r="V188">
        <v>98.9</v>
      </c>
      <c r="W188">
        <v>97.2</v>
      </c>
      <c r="X188">
        <v>1.6</v>
      </c>
      <c r="Y188">
        <v>1.1000000000000001</v>
      </c>
      <c r="Z188">
        <v>0.1</v>
      </c>
      <c r="AB188">
        <v>3.5</v>
      </c>
      <c r="AC188">
        <v>147</v>
      </c>
      <c r="AD188">
        <v>1.26</v>
      </c>
      <c r="AE188">
        <v>104</v>
      </c>
      <c r="AF188" t="s">
        <v>1251</v>
      </c>
      <c r="AG188">
        <v>1.8</v>
      </c>
      <c r="AI188">
        <v>11.6</v>
      </c>
      <c r="AJ188">
        <v>2.72</v>
      </c>
      <c r="AK188">
        <v>4.7</v>
      </c>
      <c r="AL188">
        <v>28.3</v>
      </c>
      <c r="AM188">
        <v>100.6</v>
      </c>
      <c r="AN188">
        <v>14.1</v>
      </c>
      <c r="AO188">
        <v>17.600000000000001</v>
      </c>
      <c r="AP188">
        <v>11.6</v>
      </c>
      <c r="AQ188">
        <v>4.3</v>
      </c>
      <c r="AR188">
        <v>1.3</v>
      </c>
      <c r="AS188">
        <v>28.7</v>
      </c>
      <c r="AT188">
        <v>60.8</v>
      </c>
      <c r="AU188">
        <v>67</v>
      </c>
      <c r="AV188">
        <v>25.9</v>
      </c>
      <c r="AW188">
        <v>7461</v>
      </c>
      <c r="AX188" t="s">
        <v>1325</v>
      </c>
      <c r="AY188" t="s">
        <v>1329</v>
      </c>
      <c r="AZ188">
        <v>307.7</v>
      </c>
      <c r="BA188">
        <v>35.299999999999997</v>
      </c>
      <c r="BB188">
        <v>4.3</v>
      </c>
      <c r="BC188">
        <v>4.7</v>
      </c>
      <c r="BD188">
        <v>4.3</v>
      </c>
      <c r="BE188">
        <v>4.7</v>
      </c>
    </row>
    <row r="189" spans="1:57" x14ac:dyDescent="0.25">
      <c r="A189" t="s">
        <v>666</v>
      </c>
      <c r="B189">
        <v>146</v>
      </c>
      <c r="C189" t="s">
        <v>53</v>
      </c>
      <c r="D189">
        <v>3</v>
      </c>
      <c r="E189" t="s">
        <v>40</v>
      </c>
      <c r="F189" t="s">
        <v>382</v>
      </c>
      <c r="G189">
        <v>1104</v>
      </c>
      <c r="H189">
        <v>0</v>
      </c>
      <c r="I189">
        <v>1</v>
      </c>
      <c r="J189">
        <v>1</v>
      </c>
      <c r="K189" t="s">
        <v>487</v>
      </c>
      <c r="L189" t="s">
        <v>1079</v>
      </c>
      <c r="M189" t="s">
        <v>1079</v>
      </c>
      <c r="P189" t="s">
        <v>96</v>
      </c>
      <c r="Q189">
        <v>4.8</v>
      </c>
      <c r="R189">
        <v>7.4829999999999997</v>
      </c>
      <c r="S189">
        <v>4.84</v>
      </c>
      <c r="T189">
        <v>22.3</v>
      </c>
      <c r="U189">
        <v>4.8</v>
      </c>
      <c r="V189">
        <v>105.9</v>
      </c>
      <c r="W189">
        <v>101.6</v>
      </c>
      <c r="X189">
        <v>3.3</v>
      </c>
      <c r="Y189">
        <v>-5.7</v>
      </c>
      <c r="Z189">
        <v>0.8</v>
      </c>
      <c r="AB189">
        <v>3.3</v>
      </c>
      <c r="AC189">
        <v>144</v>
      </c>
      <c r="AD189">
        <v>1.36</v>
      </c>
      <c r="AE189">
        <v>104</v>
      </c>
      <c r="AF189" t="s">
        <v>1335</v>
      </c>
      <c r="AG189">
        <v>1.8</v>
      </c>
      <c r="AK189">
        <v>3.7</v>
      </c>
      <c r="AM189">
        <v>100.6</v>
      </c>
      <c r="AN189">
        <v>12.7</v>
      </c>
      <c r="AO189">
        <v>16</v>
      </c>
      <c r="AP189">
        <v>10.4</v>
      </c>
      <c r="AQ189">
        <v>3.5</v>
      </c>
      <c r="AR189">
        <v>1.43</v>
      </c>
      <c r="AS189">
        <v>27.2</v>
      </c>
      <c r="AU189">
        <v>63.4</v>
      </c>
      <c r="AV189">
        <v>23.8</v>
      </c>
      <c r="AW189">
        <v>7451</v>
      </c>
      <c r="AX189" t="s">
        <v>1336</v>
      </c>
      <c r="AY189" t="s">
        <v>1337</v>
      </c>
      <c r="AZ189">
        <v>308.10000000000002</v>
      </c>
      <c r="BA189">
        <v>32.9</v>
      </c>
      <c r="BB189">
        <v>3.5</v>
      </c>
      <c r="BC189">
        <v>3.7</v>
      </c>
    </row>
    <row r="190" spans="1:57" x14ac:dyDescent="0.25">
      <c r="A190" t="s">
        <v>767</v>
      </c>
      <c r="B190">
        <v>152</v>
      </c>
      <c r="C190" t="s">
        <v>56</v>
      </c>
      <c r="D190">
        <v>3</v>
      </c>
      <c r="E190" t="s">
        <v>142</v>
      </c>
      <c r="F190" t="s">
        <v>382</v>
      </c>
      <c r="G190">
        <v>996</v>
      </c>
      <c r="H190">
        <v>1</v>
      </c>
      <c r="I190">
        <v>1</v>
      </c>
      <c r="J190">
        <v>0</v>
      </c>
      <c r="K190" t="s">
        <v>498</v>
      </c>
      <c r="L190" t="s">
        <v>1079</v>
      </c>
      <c r="M190" t="s">
        <v>1079</v>
      </c>
      <c r="P190" t="s">
        <v>97</v>
      </c>
      <c r="Q190">
        <v>4.9000000000000004</v>
      </c>
      <c r="R190">
        <v>7.4580000000000002</v>
      </c>
      <c r="S190">
        <v>5.66</v>
      </c>
      <c r="T190">
        <v>40.799999999999997</v>
      </c>
      <c r="U190">
        <v>4.9000000000000004</v>
      </c>
      <c r="V190">
        <v>106.2</v>
      </c>
      <c r="W190">
        <v>102.2</v>
      </c>
      <c r="X190">
        <v>3.1</v>
      </c>
      <c r="Y190">
        <v>-6</v>
      </c>
      <c r="Z190">
        <v>0.7</v>
      </c>
      <c r="AB190">
        <v>4.9000000000000004</v>
      </c>
      <c r="AC190">
        <v>142</v>
      </c>
      <c r="AD190">
        <v>1.33</v>
      </c>
      <c r="AE190">
        <v>101</v>
      </c>
      <c r="AF190" t="s">
        <v>852</v>
      </c>
      <c r="AG190">
        <v>2.2000000000000002</v>
      </c>
      <c r="AK190">
        <v>6.2</v>
      </c>
      <c r="AM190">
        <v>100.6</v>
      </c>
      <c r="AN190">
        <v>10.8</v>
      </c>
      <c r="AO190">
        <v>15.7</v>
      </c>
      <c r="AP190">
        <v>10.5</v>
      </c>
      <c r="AQ190">
        <v>5.6</v>
      </c>
      <c r="AR190">
        <v>1.37</v>
      </c>
      <c r="AS190">
        <v>30</v>
      </c>
      <c r="AU190">
        <v>70.2</v>
      </c>
      <c r="AV190">
        <v>24.1</v>
      </c>
      <c r="AW190">
        <v>7478</v>
      </c>
      <c r="AX190" t="s">
        <v>1369</v>
      </c>
      <c r="AY190" t="s">
        <v>1397</v>
      </c>
      <c r="AZ190">
        <v>291.60000000000002</v>
      </c>
      <c r="BA190">
        <v>34.799999999999997</v>
      </c>
      <c r="BB190">
        <v>5.6</v>
      </c>
      <c r="BC190">
        <v>6.2</v>
      </c>
    </row>
    <row r="191" spans="1:57" x14ac:dyDescent="0.25">
      <c r="A191" t="s">
        <v>646</v>
      </c>
      <c r="B191">
        <v>155</v>
      </c>
      <c r="C191" t="s">
        <v>80</v>
      </c>
      <c r="D191">
        <v>3</v>
      </c>
      <c r="E191" t="s">
        <v>40</v>
      </c>
      <c r="F191" t="s">
        <v>383</v>
      </c>
      <c r="G191">
        <v>885</v>
      </c>
      <c r="H191">
        <v>0</v>
      </c>
      <c r="I191">
        <v>1</v>
      </c>
      <c r="J191">
        <v>1</v>
      </c>
      <c r="K191" t="s">
        <v>506</v>
      </c>
      <c r="L191" t="s">
        <v>1079</v>
      </c>
      <c r="M191" t="s">
        <v>1079</v>
      </c>
      <c r="P191" t="s">
        <v>98</v>
      </c>
      <c r="Q191">
        <v>5</v>
      </c>
      <c r="R191">
        <v>7.4640000000000004</v>
      </c>
      <c r="S191">
        <v>5.05</v>
      </c>
      <c r="T191">
        <v>24.8</v>
      </c>
      <c r="U191">
        <v>5</v>
      </c>
      <c r="V191">
        <v>105.7</v>
      </c>
      <c r="W191">
        <v>101.7</v>
      </c>
      <c r="X191">
        <v>3.1</v>
      </c>
      <c r="Y191">
        <v>-5.5</v>
      </c>
      <c r="Z191">
        <v>0.7</v>
      </c>
      <c r="AB191">
        <v>3.5</v>
      </c>
      <c r="AC191">
        <v>146</v>
      </c>
      <c r="AD191">
        <v>1.34</v>
      </c>
      <c r="AE191">
        <v>104</v>
      </c>
      <c r="AF191" t="s">
        <v>1066</v>
      </c>
      <c r="AG191">
        <v>1.9</v>
      </c>
      <c r="AK191">
        <v>3.4</v>
      </c>
      <c r="AM191">
        <v>100.6</v>
      </c>
      <c r="AN191">
        <v>15.1</v>
      </c>
      <c r="AO191">
        <v>18.600000000000001</v>
      </c>
      <c r="AP191">
        <v>10.7</v>
      </c>
      <c r="AQ191">
        <v>3.2</v>
      </c>
      <c r="AR191">
        <v>1.39</v>
      </c>
      <c r="AS191">
        <v>27.1</v>
      </c>
      <c r="AU191">
        <v>63.4</v>
      </c>
      <c r="AV191">
        <v>24.6</v>
      </c>
      <c r="AW191">
        <v>7446</v>
      </c>
      <c r="AX191" t="s">
        <v>1338</v>
      </c>
      <c r="AY191" t="s">
        <v>1339</v>
      </c>
      <c r="AZ191">
        <v>308.3</v>
      </c>
      <c r="BA191">
        <v>34.4</v>
      </c>
      <c r="BB191">
        <v>3.2</v>
      </c>
      <c r="BC191">
        <v>3.4</v>
      </c>
    </row>
    <row r="192" spans="1:57" x14ac:dyDescent="0.25">
      <c r="A192" t="s">
        <v>596</v>
      </c>
      <c r="B192">
        <v>161</v>
      </c>
      <c r="C192" t="s">
        <v>82</v>
      </c>
      <c r="D192">
        <v>3</v>
      </c>
      <c r="E192" t="s">
        <v>54</v>
      </c>
      <c r="F192" t="s">
        <v>382</v>
      </c>
      <c r="G192">
        <v>984</v>
      </c>
      <c r="H192">
        <v>0</v>
      </c>
      <c r="I192">
        <v>0</v>
      </c>
      <c r="J192">
        <v>1</v>
      </c>
      <c r="K192" t="s">
        <v>509</v>
      </c>
      <c r="L192" t="s">
        <v>1079</v>
      </c>
      <c r="M192" t="s">
        <v>1079</v>
      </c>
      <c r="P192" t="s">
        <v>99</v>
      </c>
      <c r="Q192">
        <v>4.9000000000000004</v>
      </c>
      <c r="R192">
        <v>7.5220000000000002</v>
      </c>
      <c r="S192">
        <v>4.3</v>
      </c>
      <c r="T192">
        <v>11.7</v>
      </c>
      <c r="U192">
        <v>4.9000000000000004</v>
      </c>
      <c r="V192">
        <v>104.8</v>
      </c>
      <c r="W192">
        <v>100.9</v>
      </c>
      <c r="X192">
        <v>3.2</v>
      </c>
      <c r="Y192">
        <v>-4.5999999999999996</v>
      </c>
      <c r="Z192">
        <v>0.5</v>
      </c>
      <c r="AB192">
        <v>4.0999999999999996</v>
      </c>
      <c r="AC192">
        <v>138</v>
      </c>
      <c r="AD192">
        <v>1.35</v>
      </c>
      <c r="AE192">
        <v>100</v>
      </c>
      <c r="AF192" t="s">
        <v>982</v>
      </c>
      <c r="AG192">
        <v>2.1</v>
      </c>
      <c r="AK192">
        <v>3.6</v>
      </c>
      <c r="AM192">
        <v>100.6</v>
      </c>
      <c r="AN192">
        <v>11.5</v>
      </c>
      <c r="AO192">
        <v>15.5</v>
      </c>
      <c r="AP192">
        <v>10.6</v>
      </c>
      <c r="AQ192">
        <v>3.5</v>
      </c>
      <c r="AR192">
        <v>1.45</v>
      </c>
      <c r="AS192">
        <v>26.5</v>
      </c>
      <c r="AU192">
        <v>61.5</v>
      </c>
      <c r="AV192">
        <v>24.2</v>
      </c>
      <c r="AW192">
        <v>7452</v>
      </c>
      <c r="AX192" t="s">
        <v>1304</v>
      </c>
      <c r="AY192" t="s">
        <v>1305</v>
      </c>
      <c r="AZ192">
        <v>317.8</v>
      </c>
      <c r="BA192">
        <v>30.1</v>
      </c>
      <c r="BB192">
        <v>3.5</v>
      </c>
      <c r="BC192">
        <v>3.6</v>
      </c>
    </row>
    <row r="193" spans="1:57" x14ac:dyDescent="0.25">
      <c r="A193" t="s">
        <v>755</v>
      </c>
      <c r="B193">
        <v>151</v>
      </c>
      <c r="C193" t="s">
        <v>58</v>
      </c>
      <c r="D193">
        <v>3</v>
      </c>
      <c r="E193" t="s">
        <v>142</v>
      </c>
      <c r="F193" t="s">
        <v>383</v>
      </c>
      <c r="G193">
        <v>1175</v>
      </c>
      <c r="H193">
        <v>1</v>
      </c>
      <c r="I193">
        <v>1</v>
      </c>
      <c r="J193">
        <v>0</v>
      </c>
      <c r="K193" t="s">
        <v>503</v>
      </c>
      <c r="L193" t="s">
        <v>1079</v>
      </c>
      <c r="M193" t="s">
        <v>1079</v>
      </c>
      <c r="P193" t="s">
        <v>100</v>
      </c>
      <c r="Q193">
        <v>4</v>
      </c>
      <c r="R193">
        <v>7.4210000000000003</v>
      </c>
      <c r="S193">
        <v>6.16</v>
      </c>
      <c r="T193">
        <v>25.3</v>
      </c>
      <c r="U193">
        <v>4</v>
      </c>
      <c r="V193">
        <v>106</v>
      </c>
      <c r="W193">
        <v>101.4</v>
      </c>
      <c r="X193">
        <v>3.4</v>
      </c>
      <c r="Y193">
        <v>-5.7</v>
      </c>
      <c r="Z193">
        <v>0.9</v>
      </c>
      <c r="AB193">
        <v>4.2</v>
      </c>
      <c r="AC193">
        <v>141</v>
      </c>
      <c r="AD193">
        <v>1.4</v>
      </c>
      <c r="AE193">
        <v>100</v>
      </c>
      <c r="AF193" t="s">
        <v>652</v>
      </c>
      <c r="AG193">
        <v>0.9</v>
      </c>
      <c r="AK193">
        <v>5.6</v>
      </c>
      <c r="AM193">
        <v>100.6</v>
      </c>
      <c r="AN193">
        <v>10.4</v>
      </c>
      <c r="AO193">
        <v>14.6</v>
      </c>
      <c r="AP193">
        <v>8.6999999999999993</v>
      </c>
      <c r="AQ193">
        <v>5.0999999999999996</v>
      </c>
      <c r="AR193">
        <v>1.42</v>
      </c>
      <c r="AS193">
        <v>30</v>
      </c>
      <c r="AU193">
        <v>70.5</v>
      </c>
      <c r="AV193">
        <v>20</v>
      </c>
      <c r="AW193">
        <v>7470</v>
      </c>
      <c r="AX193" t="s">
        <v>684</v>
      </c>
      <c r="AY193" t="s">
        <v>1395</v>
      </c>
      <c r="AZ193">
        <v>283.7</v>
      </c>
      <c r="BA193">
        <v>37.9</v>
      </c>
      <c r="BB193">
        <v>5.0999999999999996</v>
      </c>
      <c r="BC193">
        <v>5.6</v>
      </c>
    </row>
    <row r="194" spans="1:57" x14ac:dyDescent="0.25">
      <c r="A194" t="s">
        <v>796</v>
      </c>
      <c r="B194">
        <v>159</v>
      </c>
      <c r="C194" t="s">
        <v>62</v>
      </c>
      <c r="D194">
        <v>3</v>
      </c>
      <c r="E194" t="s">
        <v>146</v>
      </c>
      <c r="F194" t="s">
        <v>383</v>
      </c>
      <c r="G194">
        <v>1219</v>
      </c>
      <c r="H194">
        <v>0</v>
      </c>
      <c r="I194">
        <v>1</v>
      </c>
      <c r="J194">
        <v>0</v>
      </c>
      <c r="K194" t="s">
        <v>488</v>
      </c>
      <c r="L194" t="s">
        <v>1079</v>
      </c>
      <c r="M194" t="s">
        <v>1079</v>
      </c>
      <c r="P194" t="s">
        <v>102</v>
      </c>
      <c r="Q194">
        <v>4.5</v>
      </c>
      <c r="R194">
        <v>7.5289999999999999</v>
      </c>
      <c r="S194">
        <v>5.09</v>
      </c>
      <c r="T194">
        <v>39.1</v>
      </c>
      <c r="U194">
        <v>4.5</v>
      </c>
      <c r="V194">
        <v>106.1</v>
      </c>
      <c r="W194">
        <v>102</v>
      </c>
      <c r="X194">
        <v>3.2</v>
      </c>
      <c r="Y194">
        <v>-5.9</v>
      </c>
      <c r="Z194">
        <v>0.7</v>
      </c>
      <c r="AB194">
        <v>3.8</v>
      </c>
      <c r="AC194">
        <v>154</v>
      </c>
      <c r="AD194">
        <v>1.1299999999999999</v>
      </c>
      <c r="AE194">
        <v>107</v>
      </c>
      <c r="AF194" t="s">
        <v>756</v>
      </c>
      <c r="AG194">
        <v>1.1000000000000001</v>
      </c>
      <c r="AK194">
        <v>9.1</v>
      </c>
      <c r="AM194">
        <v>100.6</v>
      </c>
      <c r="AN194">
        <v>15.1</v>
      </c>
      <c r="AO194">
        <v>19</v>
      </c>
      <c r="AP194">
        <v>9.8000000000000007</v>
      </c>
      <c r="AQ194">
        <v>8.4</v>
      </c>
      <c r="AR194">
        <v>1.22</v>
      </c>
      <c r="AS194">
        <v>31.8</v>
      </c>
      <c r="AU194">
        <v>73.900000000000006</v>
      </c>
      <c r="AV194">
        <v>22.4</v>
      </c>
      <c r="AW194">
        <v>7513</v>
      </c>
      <c r="AX194" t="s">
        <v>1211</v>
      </c>
      <c r="AY194" t="s">
        <v>1414</v>
      </c>
      <c r="AZ194">
        <v>311</v>
      </c>
      <c r="BA194">
        <v>29.6</v>
      </c>
      <c r="BB194">
        <v>8.4</v>
      </c>
      <c r="BC194">
        <v>9.1</v>
      </c>
    </row>
    <row r="195" spans="1:57" x14ac:dyDescent="0.25">
      <c r="A195" t="s">
        <v>801</v>
      </c>
      <c r="B195">
        <v>157</v>
      </c>
      <c r="C195" t="s">
        <v>64</v>
      </c>
      <c r="D195">
        <v>3</v>
      </c>
      <c r="E195" t="s">
        <v>146</v>
      </c>
      <c r="F195" t="s">
        <v>382</v>
      </c>
      <c r="G195">
        <v>849</v>
      </c>
      <c r="H195">
        <v>0</v>
      </c>
      <c r="I195">
        <v>1</v>
      </c>
      <c r="J195">
        <v>0</v>
      </c>
      <c r="K195" t="s">
        <v>507</v>
      </c>
      <c r="L195" t="s">
        <v>1079</v>
      </c>
      <c r="M195" t="s">
        <v>1079</v>
      </c>
      <c r="P195" t="s">
        <v>103</v>
      </c>
      <c r="Q195">
        <v>4.9000000000000004</v>
      </c>
      <c r="R195">
        <v>7.5549999999999997</v>
      </c>
      <c r="S195">
        <v>4.05</v>
      </c>
      <c r="T195">
        <v>28.7</v>
      </c>
      <c r="U195">
        <v>4.9000000000000004</v>
      </c>
      <c r="V195">
        <v>106</v>
      </c>
      <c r="W195">
        <v>102</v>
      </c>
      <c r="X195">
        <v>3.1</v>
      </c>
      <c r="Y195">
        <v>-5.8</v>
      </c>
      <c r="Z195">
        <v>0.7</v>
      </c>
      <c r="AB195">
        <v>4</v>
      </c>
      <c r="AC195">
        <v>154</v>
      </c>
      <c r="AD195">
        <v>1.1299999999999999</v>
      </c>
      <c r="AE195">
        <v>110</v>
      </c>
      <c r="AF195" t="s">
        <v>1140</v>
      </c>
      <c r="AG195">
        <v>2.2999999999999998</v>
      </c>
      <c r="AK195">
        <v>4.5999999999999996</v>
      </c>
      <c r="AM195">
        <v>100.6</v>
      </c>
      <c r="AN195">
        <v>17.2</v>
      </c>
      <c r="AO195">
        <v>21.2</v>
      </c>
      <c r="AP195">
        <v>10.5</v>
      </c>
      <c r="AQ195">
        <v>4.5</v>
      </c>
      <c r="AR195">
        <v>1.23</v>
      </c>
      <c r="AS195">
        <v>26.9</v>
      </c>
      <c r="AU195">
        <v>62.4</v>
      </c>
      <c r="AV195">
        <v>24.1</v>
      </c>
      <c r="AW195">
        <v>7465</v>
      </c>
      <c r="AX195" t="s">
        <v>1429</v>
      </c>
      <c r="AY195" t="s">
        <v>1430</v>
      </c>
      <c r="AZ195">
        <v>315.39999999999998</v>
      </c>
      <c r="BA195">
        <v>27.8</v>
      </c>
      <c r="BB195">
        <v>4.5</v>
      </c>
      <c r="BC195">
        <v>4.5999999999999996</v>
      </c>
    </row>
    <row r="196" spans="1:57" x14ac:dyDescent="0.25">
      <c r="A196" t="s">
        <v>699</v>
      </c>
      <c r="C196" t="s">
        <v>66</v>
      </c>
      <c r="D196">
        <v>3</v>
      </c>
      <c r="E196" t="s">
        <v>71</v>
      </c>
      <c r="F196" t="s">
        <v>383</v>
      </c>
      <c r="G196">
        <v>1279</v>
      </c>
      <c r="H196">
        <v>0</v>
      </c>
      <c r="I196">
        <v>0</v>
      </c>
      <c r="J196">
        <v>0</v>
      </c>
      <c r="K196" t="s">
        <v>495</v>
      </c>
      <c r="L196" t="s">
        <v>1079</v>
      </c>
      <c r="M196" t="s">
        <v>1079</v>
      </c>
      <c r="P196" t="s">
        <v>104</v>
      </c>
      <c r="Q196">
        <v>3.9</v>
      </c>
      <c r="R196">
        <v>7.532</v>
      </c>
      <c r="S196">
        <v>4.62</v>
      </c>
      <c r="T196">
        <v>42.2</v>
      </c>
      <c r="U196">
        <v>3.9</v>
      </c>
      <c r="V196">
        <v>106.1</v>
      </c>
      <c r="W196">
        <v>102</v>
      </c>
      <c r="X196">
        <v>3.1</v>
      </c>
      <c r="Y196">
        <v>-5.9</v>
      </c>
      <c r="Z196">
        <v>0.8</v>
      </c>
      <c r="AB196">
        <v>4.3</v>
      </c>
      <c r="AC196">
        <v>142</v>
      </c>
      <c r="AD196">
        <v>1.46</v>
      </c>
      <c r="AE196">
        <v>101</v>
      </c>
      <c r="AF196" t="s">
        <v>966</v>
      </c>
      <c r="AG196">
        <v>1.4</v>
      </c>
      <c r="AK196">
        <v>6.4</v>
      </c>
      <c r="AM196">
        <v>100.6</v>
      </c>
      <c r="AN196">
        <v>11.4</v>
      </c>
      <c r="AO196">
        <v>15.8</v>
      </c>
      <c r="AP196">
        <v>8.3000000000000007</v>
      </c>
      <c r="AQ196">
        <v>5.9</v>
      </c>
      <c r="AR196">
        <v>1.57</v>
      </c>
      <c r="AS196">
        <v>29.1</v>
      </c>
      <c r="AU196">
        <v>67.5</v>
      </c>
      <c r="AV196">
        <v>19.100000000000001</v>
      </c>
      <c r="AW196">
        <v>7483</v>
      </c>
      <c r="AX196" t="s">
        <v>1251</v>
      </c>
      <c r="AY196" t="s">
        <v>1368</v>
      </c>
      <c r="AZ196">
        <v>286</v>
      </c>
      <c r="BA196">
        <v>29.4</v>
      </c>
      <c r="BB196">
        <v>5.9</v>
      </c>
      <c r="BC196">
        <v>6.4</v>
      </c>
    </row>
    <row r="197" spans="1:57" x14ac:dyDescent="0.25">
      <c r="A197" t="s">
        <v>613</v>
      </c>
      <c r="B197">
        <v>165</v>
      </c>
      <c r="C197" t="s">
        <v>385</v>
      </c>
      <c r="D197">
        <v>3</v>
      </c>
      <c r="E197" t="s">
        <v>54</v>
      </c>
      <c r="F197" t="s">
        <v>383</v>
      </c>
      <c r="G197">
        <v>676</v>
      </c>
      <c r="H197">
        <v>0</v>
      </c>
      <c r="I197">
        <v>0</v>
      </c>
      <c r="J197">
        <v>1</v>
      </c>
      <c r="K197" t="s">
        <v>499</v>
      </c>
      <c r="L197" t="s">
        <v>1079</v>
      </c>
      <c r="M197" t="s">
        <v>1079</v>
      </c>
      <c r="P197" t="s">
        <v>342</v>
      </c>
      <c r="Q197">
        <v>3.4</v>
      </c>
      <c r="R197">
        <v>7.5129999999999999</v>
      </c>
      <c r="S197">
        <v>4.8600000000000003</v>
      </c>
      <c r="T197">
        <v>29</v>
      </c>
      <c r="U197">
        <v>3.4</v>
      </c>
      <c r="V197">
        <v>105.9</v>
      </c>
      <c r="W197">
        <v>101.8</v>
      </c>
      <c r="X197">
        <v>3.1</v>
      </c>
      <c r="Y197">
        <v>-5.7</v>
      </c>
      <c r="Z197">
        <v>0.8</v>
      </c>
      <c r="AB197">
        <v>3.9</v>
      </c>
      <c r="AC197">
        <v>144</v>
      </c>
      <c r="AD197">
        <v>1.28</v>
      </c>
      <c r="AE197">
        <v>102</v>
      </c>
      <c r="AF197" t="s">
        <v>1311</v>
      </c>
      <c r="AG197">
        <v>1.7</v>
      </c>
      <c r="AK197">
        <v>6.3</v>
      </c>
      <c r="AM197">
        <v>100.6</v>
      </c>
      <c r="AN197">
        <v>12.7</v>
      </c>
      <c r="AO197">
        <v>16.600000000000001</v>
      </c>
      <c r="AP197">
        <v>7.3</v>
      </c>
      <c r="AQ197">
        <v>5.8</v>
      </c>
      <c r="AR197">
        <v>1.36</v>
      </c>
      <c r="AS197">
        <v>29.3</v>
      </c>
      <c r="AU197">
        <v>68.2</v>
      </c>
      <c r="AV197">
        <v>16.7</v>
      </c>
      <c r="AW197">
        <v>7481</v>
      </c>
      <c r="AX197" t="s">
        <v>1312</v>
      </c>
      <c r="AY197" t="s">
        <v>1191</v>
      </c>
      <c r="AZ197">
        <v>307.7</v>
      </c>
      <c r="BA197">
        <v>30.7</v>
      </c>
      <c r="BB197">
        <v>5.8</v>
      </c>
      <c r="BC197">
        <v>6.3</v>
      </c>
    </row>
    <row r="198" spans="1:57" x14ac:dyDescent="0.25">
      <c r="A198" t="s">
        <v>720</v>
      </c>
      <c r="B198">
        <v>160</v>
      </c>
      <c r="C198" t="s">
        <v>68</v>
      </c>
      <c r="D198">
        <v>3</v>
      </c>
      <c r="E198" t="s">
        <v>71</v>
      </c>
      <c r="F198" t="s">
        <v>383</v>
      </c>
      <c r="G198">
        <v>637</v>
      </c>
      <c r="H198">
        <v>0</v>
      </c>
      <c r="I198">
        <v>0</v>
      </c>
      <c r="J198">
        <v>0</v>
      </c>
      <c r="K198" t="s">
        <v>510</v>
      </c>
      <c r="L198" t="s">
        <v>1079</v>
      </c>
      <c r="M198" t="s">
        <v>1079</v>
      </c>
      <c r="P198" t="s">
        <v>105</v>
      </c>
      <c r="Q198">
        <v>4.9000000000000004</v>
      </c>
      <c r="R198">
        <v>7.5519999999999996</v>
      </c>
      <c r="S198">
        <v>4.22</v>
      </c>
      <c r="T198">
        <v>47</v>
      </c>
      <c r="U198">
        <v>4.9000000000000004</v>
      </c>
      <c r="V198">
        <v>106.1</v>
      </c>
      <c r="W198">
        <v>102.1</v>
      </c>
      <c r="X198">
        <v>2.9</v>
      </c>
      <c r="Y198">
        <v>-5.9</v>
      </c>
      <c r="Z198">
        <v>0.9</v>
      </c>
      <c r="AB198">
        <v>4.4000000000000004</v>
      </c>
      <c r="AC198">
        <v>143</v>
      </c>
      <c r="AD198">
        <v>1.32</v>
      </c>
      <c r="AE198">
        <v>101</v>
      </c>
      <c r="AF198" t="s">
        <v>950</v>
      </c>
      <c r="AG198">
        <v>2.4</v>
      </c>
      <c r="AK198">
        <v>5.5</v>
      </c>
      <c r="AM198">
        <v>100.6</v>
      </c>
      <c r="AN198">
        <v>14.1</v>
      </c>
      <c r="AO198">
        <v>18.5</v>
      </c>
      <c r="AP198">
        <v>10.6</v>
      </c>
      <c r="AQ198">
        <v>5.2</v>
      </c>
      <c r="AR198">
        <v>1.43</v>
      </c>
      <c r="AS198">
        <v>27.8</v>
      </c>
      <c r="AU198">
        <v>64.400000000000006</v>
      </c>
      <c r="AV198">
        <v>24.3</v>
      </c>
      <c r="AW198">
        <v>7474</v>
      </c>
      <c r="AX198" t="s">
        <v>1371</v>
      </c>
      <c r="AY198" t="s">
        <v>1372</v>
      </c>
      <c r="AZ198">
        <v>288.8</v>
      </c>
      <c r="BA198">
        <v>28</v>
      </c>
      <c r="BB198">
        <v>5.2</v>
      </c>
      <c r="BC198">
        <v>5.5</v>
      </c>
    </row>
    <row r="199" spans="1:57" x14ac:dyDescent="0.25">
      <c r="A199" t="s">
        <v>855</v>
      </c>
      <c r="B199">
        <v>144</v>
      </c>
      <c r="C199" t="s">
        <v>386</v>
      </c>
      <c r="D199">
        <v>3</v>
      </c>
      <c r="E199" t="s">
        <v>146</v>
      </c>
      <c r="F199" t="s">
        <v>383</v>
      </c>
      <c r="G199">
        <v>1017</v>
      </c>
      <c r="H199">
        <v>0</v>
      </c>
      <c r="I199">
        <v>1</v>
      </c>
      <c r="J199">
        <v>0</v>
      </c>
      <c r="K199" t="s">
        <v>497</v>
      </c>
      <c r="L199" t="s">
        <v>1079</v>
      </c>
      <c r="M199" t="s">
        <v>1079</v>
      </c>
      <c r="O199">
        <v>1</v>
      </c>
      <c r="P199" t="s">
        <v>346</v>
      </c>
      <c r="Q199">
        <v>5</v>
      </c>
      <c r="R199">
        <v>7.383</v>
      </c>
      <c r="S199">
        <v>7.12</v>
      </c>
      <c r="T199">
        <v>13.2</v>
      </c>
      <c r="U199">
        <v>5</v>
      </c>
      <c r="V199">
        <v>105</v>
      </c>
      <c r="W199">
        <v>100.7</v>
      </c>
      <c r="X199">
        <v>3.4</v>
      </c>
      <c r="Y199">
        <v>-4.8</v>
      </c>
      <c r="Z199">
        <v>0.7</v>
      </c>
      <c r="AB199">
        <v>4.2</v>
      </c>
      <c r="AC199">
        <v>146</v>
      </c>
      <c r="AD199">
        <v>1.36</v>
      </c>
      <c r="AE199">
        <v>101</v>
      </c>
      <c r="AF199" t="s">
        <v>1298</v>
      </c>
      <c r="AG199">
        <v>1</v>
      </c>
      <c r="AK199">
        <v>6.7</v>
      </c>
      <c r="AM199">
        <v>100.6</v>
      </c>
      <c r="AN199">
        <v>12.6</v>
      </c>
      <c r="AO199">
        <v>16.7</v>
      </c>
      <c r="AP199">
        <v>10.7</v>
      </c>
      <c r="AQ199">
        <v>5.9</v>
      </c>
      <c r="AR199">
        <v>1.35</v>
      </c>
      <c r="AS199">
        <v>31.8</v>
      </c>
      <c r="AU199">
        <v>74.900000000000006</v>
      </c>
      <c r="AV199">
        <v>24.6</v>
      </c>
      <c r="AW199">
        <v>7479</v>
      </c>
      <c r="AX199" t="s">
        <v>830</v>
      </c>
      <c r="AY199" t="s">
        <v>1418</v>
      </c>
      <c r="AZ199">
        <v>294.60000000000002</v>
      </c>
      <c r="BA199">
        <v>41.4</v>
      </c>
      <c r="BB199">
        <v>5.9</v>
      </c>
      <c r="BC199">
        <v>6.7</v>
      </c>
    </row>
    <row r="200" spans="1:57" x14ac:dyDescent="0.25">
      <c r="A200" t="s">
        <v>813</v>
      </c>
      <c r="B200">
        <v>142</v>
      </c>
      <c r="C200" t="s">
        <v>388</v>
      </c>
      <c r="D200">
        <v>3</v>
      </c>
      <c r="E200" t="s">
        <v>146</v>
      </c>
      <c r="F200" t="s">
        <v>382</v>
      </c>
      <c r="G200">
        <v>909</v>
      </c>
      <c r="H200">
        <v>0</v>
      </c>
      <c r="I200">
        <v>1</v>
      </c>
      <c r="J200">
        <v>0</v>
      </c>
      <c r="K200" t="s">
        <v>512</v>
      </c>
      <c r="L200" t="s">
        <v>1079</v>
      </c>
      <c r="M200" t="s">
        <v>1079</v>
      </c>
      <c r="O200">
        <v>1</v>
      </c>
      <c r="P200" t="s">
        <v>348</v>
      </c>
      <c r="Q200">
        <v>4.9000000000000004</v>
      </c>
      <c r="R200">
        <v>7.2210000000000001</v>
      </c>
      <c r="S200">
        <v>9.64</v>
      </c>
      <c r="T200">
        <v>10.3</v>
      </c>
      <c r="U200">
        <v>4.9000000000000004</v>
      </c>
      <c r="V200">
        <v>101.6</v>
      </c>
      <c r="W200">
        <v>97.8</v>
      </c>
      <c r="X200">
        <v>3</v>
      </c>
      <c r="Y200">
        <v>-1.5</v>
      </c>
      <c r="Z200">
        <v>0.7</v>
      </c>
      <c r="AB200">
        <v>4.3</v>
      </c>
      <c r="AC200">
        <v>141</v>
      </c>
      <c r="AD200">
        <v>1.45</v>
      </c>
      <c r="AE200">
        <v>102</v>
      </c>
      <c r="AF200" t="s">
        <v>848</v>
      </c>
      <c r="AG200">
        <v>1</v>
      </c>
      <c r="AI200">
        <v>10.9</v>
      </c>
      <c r="AJ200">
        <v>4.21</v>
      </c>
      <c r="AK200">
        <v>2</v>
      </c>
      <c r="AL200">
        <v>25.6</v>
      </c>
      <c r="AM200">
        <v>100.7</v>
      </c>
      <c r="AN200">
        <v>10.1</v>
      </c>
      <c r="AO200">
        <v>14.3</v>
      </c>
      <c r="AP200">
        <v>10.7</v>
      </c>
      <c r="AQ200">
        <v>1.3</v>
      </c>
      <c r="AR200">
        <v>1.32</v>
      </c>
      <c r="AS200">
        <v>29.7</v>
      </c>
      <c r="AT200">
        <v>65.900000000000006</v>
      </c>
      <c r="AU200">
        <v>71.5</v>
      </c>
      <c r="AV200">
        <v>24.4</v>
      </c>
      <c r="AW200">
        <v>7410</v>
      </c>
      <c r="AX200" t="s">
        <v>1408</v>
      </c>
      <c r="AY200" t="s">
        <v>1409</v>
      </c>
      <c r="AZ200">
        <v>286.8</v>
      </c>
      <c r="BA200">
        <v>60.1</v>
      </c>
      <c r="BB200">
        <v>1.3</v>
      </c>
      <c r="BC200">
        <v>2</v>
      </c>
      <c r="BD200">
        <v>1.3</v>
      </c>
      <c r="BE200">
        <v>2</v>
      </c>
    </row>
    <row r="201" spans="1:57" x14ac:dyDescent="0.25">
      <c r="A201" t="s">
        <v>861</v>
      </c>
      <c r="B201">
        <v>158</v>
      </c>
      <c r="C201" t="s">
        <v>389</v>
      </c>
      <c r="D201">
        <v>3</v>
      </c>
      <c r="E201" t="s">
        <v>146</v>
      </c>
      <c r="F201" t="s">
        <v>382</v>
      </c>
      <c r="G201">
        <v>795</v>
      </c>
      <c r="H201">
        <v>0</v>
      </c>
      <c r="I201">
        <v>1</v>
      </c>
      <c r="J201">
        <v>0</v>
      </c>
      <c r="K201" t="s">
        <v>493</v>
      </c>
      <c r="L201" t="s">
        <v>1079</v>
      </c>
      <c r="M201" t="s">
        <v>1079</v>
      </c>
      <c r="P201" t="s">
        <v>350</v>
      </c>
      <c r="Q201">
        <v>5</v>
      </c>
      <c r="R201">
        <v>7.484</v>
      </c>
      <c r="S201">
        <v>5.71</v>
      </c>
      <c r="T201">
        <v>35.799999999999997</v>
      </c>
      <c r="U201">
        <v>5</v>
      </c>
      <c r="V201">
        <v>106</v>
      </c>
      <c r="W201">
        <v>101.8</v>
      </c>
      <c r="X201">
        <v>3.1</v>
      </c>
      <c r="Y201">
        <v>-5.8</v>
      </c>
      <c r="Z201">
        <v>0.9</v>
      </c>
      <c r="AB201">
        <v>4.3</v>
      </c>
      <c r="AC201">
        <v>143</v>
      </c>
      <c r="AD201">
        <v>1.32</v>
      </c>
      <c r="AE201">
        <v>101</v>
      </c>
      <c r="AF201" t="s">
        <v>1147</v>
      </c>
      <c r="AG201">
        <v>1.3</v>
      </c>
      <c r="AK201">
        <v>8.6999999999999993</v>
      </c>
      <c r="AM201">
        <v>100.7</v>
      </c>
      <c r="AN201">
        <v>9.9</v>
      </c>
      <c r="AO201">
        <v>14.2</v>
      </c>
      <c r="AP201">
        <v>10.8</v>
      </c>
      <c r="AQ201">
        <v>8</v>
      </c>
      <c r="AR201">
        <v>1.38</v>
      </c>
      <c r="AS201">
        <v>32.200000000000003</v>
      </c>
      <c r="AU201">
        <v>75</v>
      </c>
      <c r="AV201">
        <v>24.7</v>
      </c>
      <c r="AW201">
        <v>7507</v>
      </c>
      <c r="AX201" t="s">
        <v>1309</v>
      </c>
      <c r="AY201" t="s">
        <v>1407</v>
      </c>
      <c r="AZ201">
        <v>291.5</v>
      </c>
      <c r="BA201">
        <v>32.799999999999997</v>
      </c>
      <c r="BB201">
        <v>8</v>
      </c>
      <c r="BC201">
        <v>8.6999999999999993</v>
      </c>
    </row>
    <row r="202" spans="1:57" x14ac:dyDescent="0.25">
      <c r="A202" t="s">
        <v>703</v>
      </c>
      <c r="B202">
        <v>162</v>
      </c>
      <c r="C202" t="s">
        <v>390</v>
      </c>
      <c r="D202">
        <v>3</v>
      </c>
      <c r="E202" t="s">
        <v>71</v>
      </c>
      <c r="F202" t="s">
        <v>382</v>
      </c>
      <c r="G202">
        <v>828</v>
      </c>
      <c r="H202">
        <v>0</v>
      </c>
      <c r="I202">
        <v>0</v>
      </c>
      <c r="J202">
        <v>0</v>
      </c>
      <c r="K202" t="s">
        <v>505</v>
      </c>
      <c r="L202" t="s">
        <v>1079</v>
      </c>
      <c r="M202" t="s">
        <v>1079</v>
      </c>
      <c r="P202" t="s">
        <v>352</v>
      </c>
      <c r="Q202">
        <v>4.0999999999999996</v>
      </c>
      <c r="R202">
        <v>7.5369999999999999</v>
      </c>
      <c r="S202">
        <v>4.37</v>
      </c>
      <c r="T202">
        <v>39.299999999999997</v>
      </c>
      <c r="U202">
        <v>4.0999999999999996</v>
      </c>
      <c r="V202">
        <v>106.1</v>
      </c>
      <c r="W202">
        <v>102.2</v>
      </c>
      <c r="X202">
        <v>3.1</v>
      </c>
      <c r="Y202">
        <v>-5.9</v>
      </c>
      <c r="Z202">
        <v>0.6</v>
      </c>
      <c r="AB202">
        <v>4.3</v>
      </c>
      <c r="AC202">
        <v>141</v>
      </c>
      <c r="AD202">
        <v>1.08</v>
      </c>
      <c r="AE202">
        <v>100</v>
      </c>
      <c r="AF202" t="s">
        <v>749</v>
      </c>
      <c r="AG202">
        <v>2.8</v>
      </c>
      <c r="AK202">
        <v>5.2</v>
      </c>
      <c r="AM202">
        <v>100.6</v>
      </c>
      <c r="AN202">
        <v>13.5</v>
      </c>
      <c r="AO202">
        <v>17.8</v>
      </c>
      <c r="AP202">
        <v>8.9</v>
      </c>
      <c r="AQ202">
        <v>4.9000000000000004</v>
      </c>
      <c r="AR202">
        <v>1.1599999999999999</v>
      </c>
      <c r="AS202">
        <v>27.8</v>
      </c>
      <c r="AU202">
        <v>64.599999999999994</v>
      </c>
      <c r="AV202">
        <v>20.399999999999999</v>
      </c>
      <c r="AW202">
        <v>7470</v>
      </c>
      <c r="AX202" t="s">
        <v>1163</v>
      </c>
      <c r="AY202" t="s">
        <v>1365</v>
      </c>
      <c r="AZ202">
        <v>285.10000000000002</v>
      </c>
      <c r="BA202">
        <v>29</v>
      </c>
      <c r="BB202">
        <v>4.9000000000000004</v>
      </c>
      <c r="BC202">
        <v>5.2</v>
      </c>
    </row>
    <row r="203" spans="1:57" x14ac:dyDescent="0.25">
      <c r="A203" t="s">
        <v>858</v>
      </c>
      <c r="B203">
        <v>156</v>
      </c>
      <c r="C203" t="s">
        <v>384</v>
      </c>
      <c r="D203">
        <v>3</v>
      </c>
      <c r="E203" t="s">
        <v>146</v>
      </c>
      <c r="F203" t="s">
        <v>382</v>
      </c>
      <c r="G203">
        <v>702</v>
      </c>
      <c r="H203">
        <v>0</v>
      </c>
      <c r="I203">
        <v>1</v>
      </c>
      <c r="J203">
        <v>0</v>
      </c>
      <c r="K203" t="s">
        <v>502</v>
      </c>
      <c r="L203" t="s">
        <v>1079</v>
      </c>
      <c r="M203" t="s">
        <v>1079</v>
      </c>
      <c r="P203" t="s">
        <v>354</v>
      </c>
      <c r="Q203">
        <v>5.6</v>
      </c>
      <c r="R203">
        <v>7.52</v>
      </c>
      <c r="S203">
        <v>4.8499999999999996</v>
      </c>
      <c r="T203">
        <v>26.6</v>
      </c>
      <c r="U203">
        <v>5.6</v>
      </c>
      <c r="V203">
        <v>101.3</v>
      </c>
      <c r="W203">
        <v>100.3</v>
      </c>
      <c r="X203">
        <v>0.9</v>
      </c>
      <c r="Y203">
        <v>-1.3</v>
      </c>
      <c r="Z203">
        <v>0.1</v>
      </c>
      <c r="AB203">
        <v>4.5999999999999996</v>
      </c>
      <c r="AC203">
        <v>144</v>
      </c>
      <c r="AD203">
        <v>1.32</v>
      </c>
      <c r="AE203">
        <v>103</v>
      </c>
      <c r="AF203" t="s">
        <v>780</v>
      </c>
      <c r="AG203">
        <v>1.6</v>
      </c>
      <c r="AI203">
        <v>13.1</v>
      </c>
      <c r="AJ203">
        <v>2.4900000000000002</v>
      </c>
      <c r="AK203">
        <v>6.9</v>
      </c>
      <c r="AL203">
        <v>30.4</v>
      </c>
      <c r="AM203">
        <v>100.6</v>
      </c>
      <c r="AN203">
        <v>10.8</v>
      </c>
      <c r="AO203">
        <v>15.4</v>
      </c>
      <c r="AP203">
        <v>12.5</v>
      </c>
      <c r="AQ203">
        <v>6.5</v>
      </c>
      <c r="AR203">
        <v>1.41</v>
      </c>
      <c r="AS203">
        <v>29.7</v>
      </c>
      <c r="AT203">
        <v>62</v>
      </c>
      <c r="AU203">
        <v>69.099999999999994</v>
      </c>
      <c r="AV203">
        <v>27.8</v>
      </c>
      <c r="AW203">
        <v>7490</v>
      </c>
      <c r="AX203" t="s">
        <v>1312</v>
      </c>
      <c r="AY203" t="s">
        <v>1404</v>
      </c>
      <c r="AZ203">
        <v>290.3</v>
      </c>
      <c r="BA203">
        <v>30.2</v>
      </c>
      <c r="BB203">
        <v>6.5</v>
      </c>
      <c r="BC203">
        <v>6.9</v>
      </c>
      <c r="BD203">
        <v>6.5</v>
      </c>
      <c r="BE203">
        <v>6.9</v>
      </c>
    </row>
    <row r="204" spans="1:57" x14ac:dyDescent="0.25">
      <c r="A204" t="s">
        <v>605</v>
      </c>
      <c r="B204">
        <v>163</v>
      </c>
      <c r="C204" t="s">
        <v>202</v>
      </c>
      <c r="D204">
        <v>3</v>
      </c>
      <c r="E204" t="s">
        <v>54</v>
      </c>
      <c r="F204" t="s">
        <v>382</v>
      </c>
      <c r="G204">
        <v>908</v>
      </c>
      <c r="H204">
        <v>0</v>
      </c>
      <c r="I204">
        <v>0</v>
      </c>
      <c r="J204">
        <v>1</v>
      </c>
      <c r="K204" t="s">
        <v>504</v>
      </c>
      <c r="L204" t="s">
        <v>1079</v>
      </c>
      <c r="M204" t="s">
        <v>1079</v>
      </c>
      <c r="P204" t="s">
        <v>321</v>
      </c>
      <c r="Q204">
        <v>5</v>
      </c>
      <c r="R204">
        <v>7.5469999999999997</v>
      </c>
      <c r="S204">
        <v>4.1500000000000004</v>
      </c>
      <c r="T204">
        <v>9.61</v>
      </c>
      <c r="U204">
        <v>5</v>
      </c>
      <c r="V204">
        <v>103.9</v>
      </c>
      <c r="W204">
        <v>100</v>
      </c>
      <c r="X204">
        <v>3.2</v>
      </c>
      <c r="Y204">
        <v>-3.8</v>
      </c>
      <c r="Z204">
        <v>0.6</v>
      </c>
      <c r="AB204">
        <v>3.6</v>
      </c>
      <c r="AC204">
        <v>153</v>
      </c>
      <c r="AD204">
        <v>1.02</v>
      </c>
      <c r="AE204">
        <v>109</v>
      </c>
      <c r="AF204" t="s">
        <v>1306</v>
      </c>
      <c r="AG204">
        <v>1.7</v>
      </c>
      <c r="AK204">
        <v>4.5999999999999996</v>
      </c>
      <c r="AM204">
        <v>100.6</v>
      </c>
      <c r="AN204">
        <v>16.899999999999999</v>
      </c>
      <c r="AO204">
        <v>20.5</v>
      </c>
      <c r="AP204">
        <v>10.8</v>
      </c>
      <c r="AQ204">
        <v>4.5</v>
      </c>
      <c r="AR204">
        <v>1.1000000000000001</v>
      </c>
      <c r="AS204">
        <v>27</v>
      </c>
      <c r="AU204">
        <v>62.6</v>
      </c>
      <c r="AV204">
        <v>24.8</v>
      </c>
      <c r="AW204">
        <v>7464</v>
      </c>
      <c r="AX204" t="s">
        <v>1307</v>
      </c>
      <c r="AY204" t="s">
        <v>1308</v>
      </c>
      <c r="AZ204">
        <v>321.2</v>
      </c>
      <c r="BA204">
        <v>28.4</v>
      </c>
      <c r="BB204">
        <v>4.5</v>
      </c>
      <c r="BC204">
        <v>4.5999999999999996</v>
      </c>
    </row>
    <row r="205" spans="1:57" x14ac:dyDescent="0.25">
      <c r="A205" t="s">
        <v>978</v>
      </c>
      <c r="B205">
        <v>154</v>
      </c>
      <c r="C205" t="s">
        <v>175</v>
      </c>
      <c r="D205">
        <v>3</v>
      </c>
      <c r="E205" t="s">
        <v>142</v>
      </c>
      <c r="F205" t="s">
        <v>382</v>
      </c>
      <c r="G205">
        <v>826</v>
      </c>
      <c r="H205">
        <v>1</v>
      </c>
      <c r="I205">
        <v>1</v>
      </c>
      <c r="J205">
        <v>0</v>
      </c>
      <c r="K205" t="s">
        <v>494</v>
      </c>
      <c r="L205" t="s">
        <v>1079</v>
      </c>
      <c r="M205" t="s">
        <v>1079</v>
      </c>
      <c r="P205" t="s">
        <v>339</v>
      </c>
      <c r="Q205">
        <v>5.5</v>
      </c>
      <c r="R205">
        <v>7.5179999999999998</v>
      </c>
      <c r="S205">
        <v>5.33</v>
      </c>
      <c r="T205">
        <v>40.700000000000003</v>
      </c>
      <c r="U205">
        <v>5.5</v>
      </c>
      <c r="V205">
        <v>101.5</v>
      </c>
      <c r="W205">
        <v>100.3</v>
      </c>
      <c r="X205">
        <v>0.8</v>
      </c>
      <c r="Y205">
        <v>-1.5</v>
      </c>
      <c r="Z205">
        <v>0.4</v>
      </c>
      <c r="AB205">
        <v>4</v>
      </c>
      <c r="AC205">
        <v>157</v>
      </c>
      <c r="AD205">
        <v>1.01</v>
      </c>
      <c r="AE205">
        <v>111</v>
      </c>
      <c r="AF205" t="s">
        <v>950</v>
      </c>
      <c r="AG205">
        <v>1.3</v>
      </c>
      <c r="AI205">
        <v>13</v>
      </c>
      <c r="AJ205">
        <v>2.5</v>
      </c>
      <c r="AK205">
        <v>9.6</v>
      </c>
      <c r="AL205">
        <v>32.6</v>
      </c>
      <c r="AM205">
        <v>100.6</v>
      </c>
      <c r="AN205">
        <v>13.5</v>
      </c>
      <c r="AO205">
        <v>17.5</v>
      </c>
      <c r="AP205">
        <v>12.1</v>
      </c>
      <c r="AQ205">
        <v>8.8000000000000007</v>
      </c>
      <c r="AR205">
        <v>1.08</v>
      </c>
      <c r="AS205">
        <v>32.5</v>
      </c>
      <c r="AT205">
        <v>68</v>
      </c>
      <c r="AU205">
        <v>75.599999999999994</v>
      </c>
      <c r="AV205">
        <v>27</v>
      </c>
      <c r="AW205">
        <v>7518</v>
      </c>
      <c r="AX205" t="s">
        <v>1349</v>
      </c>
      <c r="AY205" t="s">
        <v>1391</v>
      </c>
      <c r="AZ205">
        <v>317.3</v>
      </c>
      <c r="BA205">
        <v>30.3</v>
      </c>
      <c r="BB205">
        <v>8.8000000000000007</v>
      </c>
      <c r="BC205">
        <v>9.6</v>
      </c>
      <c r="BD205">
        <v>8.8000000000000007</v>
      </c>
      <c r="BE205">
        <v>9.6</v>
      </c>
    </row>
    <row r="206" spans="1:57" x14ac:dyDescent="0.25">
      <c r="A206" t="s">
        <v>763</v>
      </c>
      <c r="C206" t="s">
        <v>145</v>
      </c>
      <c r="D206">
        <v>3</v>
      </c>
      <c r="E206" t="s">
        <v>142</v>
      </c>
      <c r="F206" t="s">
        <v>382</v>
      </c>
      <c r="G206">
        <v>970</v>
      </c>
      <c r="H206">
        <v>1</v>
      </c>
      <c r="I206">
        <v>1</v>
      </c>
      <c r="J206">
        <v>0</v>
      </c>
      <c r="K206" t="s">
        <v>508</v>
      </c>
      <c r="L206" t="s">
        <v>1079</v>
      </c>
      <c r="M206" t="s">
        <v>1079</v>
      </c>
      <c r="P206" t="s">
        <v>319</v>
      </c>
      <c r="Q206">
        <v>4.9000000000000004</v>
      </c>
      <c r="R206">
        <v>7.5819999999999999</v>
      </c>
      <c r="S206">
        <v>4.2699999999999996</v>
      </c>
      <c r="T206">
        <v>37.5</v>
      </c>
      <c r="U206">
        <v>4.9000000000000004</v>
      </c>
      <c r="V206">
        <v>106.2</v>
      </c>
      <c r="W206">
        <v>102.3</v>
      </c>
      <c r="X206">
        <v>3.1</v>
      </c>
      <c r="Y206">
        <v>-6</v>
      </c>
      <c r="Z206">
        <v>0.6</v>
      </c>
      <c r="AB206">
        <v>4.0999999999999996</v>
      </c>
      <c r="AC206">
        <v>141</v>
      </c>
      <c r="AD206">
        <v>1.32</v>
      </c>
      <c r="AE206">
        <v>101</v>
      </c>
      <c r="AF206" t="s">
        <v>974</v>
      </c>
      <c r="AG206">
        <v>1.1000000000000001</v>
      </c>
      <c r="AK206">
        <v>8.3000000000000007</v>
      </c>
      <c r="AM206">
        <v>100.6</v>
      </c>
      <c r="AN206">
        <v>10.7</v>
      </c>
      <c r="AO206">
        <v>14.8</v>
      </c>
      <c r="AP206">
        <v>10.6</v>
      </c>
      <c r="AQ206">
        <v>7.8</v>
      </c>
      <c r="AR206">
        <v>1.46</v>
      </c>
      <c r="AS206">
        <v>30.1</v>
      </c>
      <c r="AU206">
        <v>69.7</v>
      </c>
      <c r="AV206">
        <v>24.2</v>
      </c>
      <c r="AW206">
        <v>7507</v>
      </c>
      <c r="AX206" t="s">
        <v>1389</v>
      </c>
      <c r="AY206" t="s">
        <v>1390</v>
      </c>
      <c r="AZ206">
        <v>286.2</v>
      </c>
      <c r="BA206">
        <v>26.2</v>
      </c>
      <c r="BB206">
        <v>7.8</v>
      </c>
      <c r="BC206">
        <v>8.3000000000000007</v>
      </c>
    </row>
    <row r="207" spans="1:57" x14ac:dyDescent="0.25">
      <c r="A207" t="s">
        <v>659</v>
      </c>
      <c r="B207">
        <v>143</v>
      </c>
      <c r="C207" t="s">
        <v>39</v>
      </c>
      <c r="D207">
        <v>3</v>
      </c>
      <c r="E207" t="s">
        <v>40</v>
      </c>
      <c r="F207" t="s">
        <v>382</v>
      </c>
      <c r="G207">
        <v>794</v>
      </c>
      <c r="H207">
        <v>0</v>
      </c>
      <c r="I207">
        <v>1</v>
      </c>
      <c r="J207">
        <v>1</v>
      </c>
      <c r="K207" t="s">
        <v>483</v>
      </c>
      <c r="L207" t="s">
        <v>1144</v>
      </c>
      <c r="M207" t="s">
        <v>1079</v>
      </c>
      <c r="N207">
        <v>1</v>
      </c>
      <c r="P207" t="s">
        <v>484</v>
      </c>
      <c r="Q207">
        <v>4.8</v>
      </c>
      <c r="R207">
        <v>7.0220000000000002</v>
      </c>
      <c r="S207">
        <v>11.1</v>
      </c>
      <c r="T207">
        <v>2.4700000000000002</v>
      </c>
      <c r="U207">
        <v>4.8</v>
      </c>
      <c r="V207">
        <v>26.1</v>
      </c>
      <c r="W207">
        <v>25.5</v>
      </c>
      <c r="X207">
        <v>1.1000000000000001</v>
      </c>
      <c r="Y207">
        <v>72.3</v>
      </c>
      <c r="Z207">
        <v>1.1000000000000001</v>
      </c>
      <c r="AB207">
        <v>4.9000000000000004</v>
      </c>
      <c r="AC207">
        <v>139</v>
      </c>
      <c r="AD207">
        <v>1.4</v>
      </c>
      <c r="AE207">
        <v>97</v>
      </c>
      <c r="AF207" t="s">
        <v>437</v>
      </c>
      <c r="AG207">
        <v>7.5</v>
      </c>
      <c r="AI207">
        <v>2.8</v>
      </c>
      <c r="AJ207">
        <v>3.76</v>
      </c>
      <c r="AK207">
        <v>-9.4</v>
      </c>
      <c r="AL207">
        <v>16.100000000000001</v>
      </c>
      <c r="AM207">
        <v>100.7</v>
      </c>
      <c r="AN207">
        <v>20.100000000000001</v>
      </c>
      <c r="AO207">
        <v>25</v>
      </c>
      <c r="AP207">
        <v>10.6</v>
      </c>
      <c r="AQ207">
        <v>-9.1999999999999993</v>
      </c>
      <c r="AR207">
        <v>1.1299999999999999</v>
      </c>
      <c r="AS207">
        <v>21.5</v>
      </c>
      <c r="AT207">
        <v>51.1</v>
      </c>
      <c r="AU207">
        <v>54</v>
      </c>
      <c r="AV207">
        <v>23.8</v>
      </c>
      <c r="AW207">
        <v>7228</v>
      </c>
      <c r="AX207" t="s">
        <v>1433</v>
      </c>
      <c r="AY207" t="s">
        <v>854</v>
      </c>
      <c r="BA207">
        <v>95</v>
      </c>
      <c r="BB207">
        <v>-9.1999999999999993</v>
      </c>
      <c r="BC207">
        <v>-9.4</v>
      </c>
      <c r="BD207">
        <v>-10.3</v>
      </c>
      <c r="BE207">
        <v>-10.1</v>
      </c>
    </row>
    <row r="208" spans="1:57" x14ac:dyDescent="0.25">
      <c r="A208" t="s">
        <v>855</v>
      </c>
      <c r="B208">
        <v>144</v>
      </c>
      <c r="C208" t="s">
        <v>386</v>
      </c>
      <c r="D208">
        <v>3</v>
      </c>
      <c r="E208" t="s">
        <v>146</v>
      </c>
      <c r="F208" t="s">
        <v>383</v>
      </c>
      <c r="G208">
        <v>1017</v>
      </c>
      <c r="H208">
        <v>0</v>
      </c>
      <c r="I208">
        <v>1</v>
      </c>
      <c r="J208">
        <v>0</v>
      </c>
      <c r="K208" t="s">
        <v>481</v>
      </c>
      <c r="L208" t="s">
        <v>1144</v>
      </c>
      <c r="M208" t="s">
        <v>1079</v>
      </c>
      <c r="N208">
        <v>1</v>
      </c>
      <c r="P208" t="s">
        <v>482</v>
      </c>
      <c r="Q208">
        <v>4.5999999999999996</v>
      </c>
      <c r="R208">
        <v>7.0510000000000002</v>
      </c>
      <c r="S208">
        <v>15</v>
      </c>
      <c r="T208">
        <v>5.12</v>
      </c>
      <c r="U208">
        <v>4.5999999999999996</v>
      </c>
      <c r="V208">
        <v>69.099999999999994</v>
      </c>
      <c r="W208">
        <v>66.599999999999994</v>
      </c>
      <c r="X208">
        <v>2.6</v>
      </c>
      <c r="Y208">
        <v>29.8</v>
      </c>
      <c r="Z208">
        <v>1</v>
      </c>
      <c r="AB208">
        <v>3.9</v>
      </c>
      <c r="AC208">
        <v>140</v>
      </c>
      <c r="AD208">
        <v>1.57</v>
      </c>
      <c r="AE208">
        <v>98</v>
      </c>
      <c r="AF208" t="s">
        <v>656</v>
      </c>
      <c r="AG208">
        <v>1.6</v>
      </c>
      <c r="AI208">
        <v>6.9</v>
      </c>
      <c r="AJ208">
        <v>3.8</v>
      </c>
      <c r="AK208">
        <v>0.7</v>
      </c>
      <c r="AL208">
        <v>24.1</v>
      </c>
      <c r="AM208">
        <v>100.7</v>
      </c>
      <c r="AN208">
        <v>9.9</v>
      </c>
      <c r="AO208">
        <v>13.9</v>
      </c>
      <c r="AP208">
        <v>9.9</v>
      </c>
      <c r="AQ208">
        <v>0</v>
      </c>
      <c r="AR208">
        <v>1.3</v>
      </c>
      <c r="AS208">
        <v>31.2</v>
      </c>
      <c r="AT208">
        <v>73.099999999999994</v>
      </c>
      <c r="AU208">
        <v>77.7</v>
      </c>
      <c r="AV208">
        <v>22.6</v>
      </c>
      <c r="AW208">
        <v>7377</v>
      </c>
      <c r="AX208" t="s">
        <v>1145</v>
      </c>
      <c r="AY208" t="s">
        <v>1434</v>
      </c>
      <c r="AZ208">
        <v>287.8</v>
      </c>
      <c r="BA208">
        <v>89</v>
      </c>
      <c r="BB208">
        <v>0</v>
      </c>
      <c r="BC208">
        <v>0.7</v>
      </c>
      <c r="BD208">
        <v>-0.4</v>
      </c>
      <c r="BE208">
        <v>0.5</v>
      </c>
    </row>
    <row r="209" spans="1:57" x14ac:dyDescent="0.25">
      <c r="A209" t="s">
        <v>813</v>
      </c>
      <c r="B209">
        <v>142</v>
      </c>
      <c r="C209" t="s">
        <v>388</v>
      </c>
      <c r="D209">
        <v>3</v>
      </c>
      <c r="E209" t="s">
        <v>146</v>
      </c>
      <c r="F209" t="s">
        <v>382</v>
      </c>
      <c r="G209">
        <v>909</v>
      </c>
      <c r="H209">
        <v>0</v>
      </c>
      <c r="I209">
        <v>1</v>
      </c>
      <c r="J209">
        <v>0</v>
      </c>
      <c r="K209" t="s">
        <v>485</v>
      </c>
      <c r="L209" t="s">
        <v>1144</v>
      </c>
      <c r="M209" t="s">
        <v>1079</v>
      </c>
      <c r="N209">
        <v>1</v>
      </c>
      <c r="P209" t="s">
        <v>486</v>
      </c>
      <c r="Q209">
        <v>3.8</v>
      </c>
      <c r="R209">
        <v>7.0609999999999999</v>
      </c>
      <c r="S209">
        <v>12.2</v>
      </c>
      <c r="T209">
        <v>3.03</v>
      </c>
      <c r="U209">
        <v>3.8</v>
      </c>
      <c r="V209">
        <v>31.2</v>
      </c>
      <c r="W209">
        <v>30.5</v>
      </c>
      <c r="X209">
        <v>1.2</v>
      </c>
      <c r="Y209">
        <v>67.2</v>
      </c>
      <c r="Z209">
        <v>1.1000000000000001</v>
      </c>
      <c r="AB209">
        <v>5.7</v>
      </c>
      <c r="AC209">
        <v>130</v>
      </c>
      <c r="AD209">
        <v>1.54</v>
      </c>
      <c r="AE209">
        <v>95</v>
      </c>
      <c r="AF209" t="s">
        <v>1435</v>
      </c>
      <c r="AG209">
        <v>3.5</v>
      </c>
      <c r="AI209">
        <v>2.7</v>
      </c>
      <c r="AJ209">
        <v>4.13</v>
      </c>
      <c r="AK209">
        <v>-4.3</v>
      </c>
      <c r="AL209">
        <v>20.399999999999999</v>
      </c>
      <c r="AM209">
        <v>100.7</v>
      </c>
      <c r="AN209">
        <v>9.4</v>
      </c>
      <c r="AO209">
        <v>15</v>
      </c>
      <c r="AP209">
        <v>8.4</v>
      </c>
      <c r="AQ209">
        <v>-4</v>
      </c>
      <c r="AR209">
        <v>1.28</v>
      </c>
      <c r="AS209">
        <v>26</v>
      </c>
      <c r="AT209">
        <v>61.7</v>
      </c>
      <c r="AU209">
        <v>64.599999999999994</v>
      </c>
      <c r="AV209">
        <v>19</v>
      </c>
      <c r="AW209">
        <v>7320</v>
      </c>
      <c r="AX209" t="s">
        <v>1436</v>
      </c>
      <c r="AY209" t="s">
        <v>1437</v>
      </c>
      <c r="AZ209">
        <v>279</v>
      </c>
      <c r="BA209">
        <v>87</v>
      </c>
      <c r="BB209">
        <v>-4</v>
      </c>
      <c r="BC209">
        <v>-4.3</v>
      </c>
      <c r="BD209">
        <v>-4.8</v>
      </c>
      <c r="BE209">
        <v>-4.9000000000000004</v>
      </c>
    </row>
    <row r="210" spans="1:57" x14ac:dyDescent="0.25">
      <c r="A210" t="s">
        <v>686</v>
      </c>
      <c r="C210" t="s">
        <v>39</v>
      </c>
      <c r="D210">
        <v>1</v>
      </c>
      <c r="E210" t="s">
        <v>40</v>
      </c>
      <c r="F210" t="s">
        <v>49</v>
      </c>
      <c r="G210">
        <v>1222</v>
      </c>
      <c r="H210">
        <v>0</v>
      </c>
      <c r="I210">
        <v>1</v>
      </c>
      <c r="J210">
        <v>1</v>
      </c>
      <c r="K210" t="s">
        <v>806</v>
      </c>
      <c r="L210" t="s">
        <v>865</v>
      </c>
      <c r="M210" t="s">
        <v>865</v>
      </c>
      <c r="O210">
        <v>1</v>
      </c>
      <c r="P210" t="s">
        <v>107</v>
      </c>
      <c r="Q210">
        <v>4.8</v>
      </c>
      <c r="R210">
        <v>7.3819999999999997</v>
      </c>
      <c r="S210">
        <v>6.61</v>
      </c>
      <c r="T210">
        <v>5.14</v>
      </c>
      <c r="U210">
        <v>4.8</v>
      </c>
      <c r="V210">
        <v>88.4</v>
      </c>
      <c r="W210">
        <v>85</v>
      </c>
      <c r="X210">
        <v>3.2</v>
      </c>
      <c r="Y210">
        <v>11.1</v>
      </c>
      <c r="Z210">
        <v>0.7</v>
      </c>
      <c r="AB210">
        <v>2.6</v>
      </c>
      <c r="AC210">
        <v>161</v>
      </c>
      <c r="AD210">
        <v>0.93</v>
      </c>
      <c r="AE210">
        <v>114</v>
      </c>
      <c r="AF210" t="s">
        <v>891</v>
      </c>
      <c r="AG210">
        <v>2.6</v>
      </c>
      <c r="AI210">
        <v>9.1999999999999993</v>
      </c>
      <c r="AJ210">
        <v>2.33</v>
      </c>
      <c r="AK210">
        <v>4.3</v>
      </c>
      <c r="AL210">
        <v>27.7</v>
      </c>
      <c r="AM210">
        <v>101</v>
      </c>
      <c r="AN210">
        <v>16.899999999999999</v>
      </c>
      <c r="AO210">
        <v>19.5</v>
      </c>
      <c r="AP210">
        <v>10.3</v>
      </c>
      <c r="AQ210">
        <v>3.8</v>
      </c>
      <c r="AR210">
        <v>0.92</v>
      </c>
      <c r="AS210">
        <v>29.4</v>
      </c>
      <c r="AT210">
        <v>63.7</v>
      </c>
      <c r="AU210">
        <v>69.3</v>
      </c>
      <c r="AV210">
        <v>23.6</v>
      </c>
      <c r="AW210">
        <v>7452</v>
      </c>
      <c r="AX210" t="s">
        <v>892</v>
      </c>
      <c r="AY210" t="s">
        <v>893</v>
      </c>
      <c r="AZ210">
        <v>332.2</v>
      </c>
      <c r="BA210">
        <v>41.5</v>
      </c>
      <c r="BB210">
        <v>3.8</v>
      </c>
      <c r="BC210">
        <v>4.3</v>
      </c>
      <c r="BD210">
        <v>3.6</v>
      </c>
      <c r="BE210">
        <v>4.2</v>
      </c>
    </row>
    <row r="211" spans="1:57" x14ac:dyDescent="0.25">
      <c r="A211" t="s">
        <v>805</v>
      </c>
      <c r="C211" t="s">
        <v>43</v>
      </c>
      <c r="D211">
        <v>1</v>
      </c>
      <c r="E211" t="s">
        <v>146</v>
      </c>
      <c r="F211" t="s">
        <v>49</v>
      </c>
      <c r="G211">
        <v>1065.9000000000001</v>
      </c>
      <c r="H211">
        <v>0</v>
      </c>
      <c r="I211">
        <v>1</v>
      </c>
      <c r="J211">
        <v>0</v>
      </c>
      <c r="K211" t="s">
        <v>1012</v>
      </c>
      <c r="L211" t="s">
        <v>865</v>
      </c>
      <c r="M211" t="s">
        <v>865</v>
      </c>
      <c r="P211" t="s">
        <v>108</v>
      </c>
      <c r="Q211">
        <v>5.3</v>
      </c>
      <c r="R211">
        <v>7.2939999999999996</v>
      </c>
      <c r="S211">
        <v>8.16</v>
      </c>
      <c r="T211">
        <v>4.3600000000000003</v>
      </c>
      <c r="U211">
        <v>5.3</v>
      </c>
      <c r="V211">
        <v>75.2</v>
      </c>
      <c r="W211">
        <v>73.599999999999994</v>
      </c>
      <c r="X211">
        <v>1.5</v>
      </c>
      <c r="Y211">
        <v>24.3</v>
      </c>
      <c r="Z211">
        <v>0.6</v>
      </c>
      <c r="AB211">
        <v>3.6</v>
      </c>
      <c r="AC211">
        <v>159</v>
      </c>
      <c r="AD211">
        <v>0.87</v>
      </c>
      <c r="AE211">
        <v>116</v>
      </c>
      <c r="AF211" t="s">
        <v>652</v>
      </c>
      <c r="AG211">
        <v>1.4</v>
      </c>
      <c r="AI211">
        <v>8.8000000000000007</v>
      </c>
      <c r="AJ211">
        <v>2.86</v>
      </c>
      <c r="AK211">
        <v>3.2</v>
      </c>
      <c r="AL211">
        <v>26.3</v>
      </c>
      <c r="AM211">
        <v>101</v>
      </c>
      <c r="AN211">
        <v>13.3</v>
      </c>
      <c r="AO211">
        <v>16.899999999999999</v>
      </c>
      <c r="AP211">
        <v>11.5</v>
      </c>
      <c r="AQ211">
        <v>2.5</v>
      </c>
      <c r="AR211">
        <v>0.82</v>
      </c>
      <c r="AS211">
        <v>29.7</v>
      </c>
      <c r="AT211">
        <v>64.900000000000006</v>
      </c>
      <c r="AU211">
        <v>70.7</v>
      </c>
      <c r="AV211">
        <v>26</v>
      </c>
      <c r="AW211">
        <v>7430</v>
      </c>
      <c r="AX211" t="s">
        <v>1013</v>
      </c>
      <c r="AY211" t="s">
        <v>1014</v>
      </c>
      <c r="AZ211">
        <v>320.8</v>
      </c>
      <c r="BA211">
        <v>50.8</v>
      </c>
      <c r="BB211">
        <v>2.5</v>
      </c>
      <c r="BC211">
        <v>3.2</v>
      </c>
      <c r="BD211">
        <v>2.1</v>
      </c>
      <c r="BE211">
        <v>2.9</v>
      </c>
    </row>
    <row r="212" spans="1:57" x14ac:dyDescent="0.25">
      <c r="A212" t="s">
        <v>837</v>
      </c>
      <c r="B212">
        <v>108</v>
      </c>
      <c r="C212" t="s">
        <v>47</v>
      </c>
      <c r="D212">
        <v>1</v>
      </c>
      <c r="E212" t="s">
        <v>146</v>
      </c>
      <c r="F212" t="s">
        <v>60</v>
      </c>
      <c r="G212">
        <v>1174</v>
      </c>
      <c r="H212">
        <v>0</v>
      </c>
      <c r="I212">
        <v>1</v>
      </c>
      <c r="J212">
        <v>0</v>
      </c>
      <c r="K212" t="s">
        <v>1018</v>
      </c>
      <c r="L212" t="s">
        <v>865</v>
      </c>
      <c r="M212" t="s">
        <v>865</v>
      </c>
      <c r="P212" t="s">
        <v>109</v>
      </c>
      <c r="Q212">
        <v>5</v>
      </c>
      <c r="R212">
        <v>7.2949999999999999</v>
      </c>
      <c r="S212">
        <v>8.7100000000000009</v>
      </c>
      <c r="T212">
        <v>4.2300000000000004</v>
      </c>
      <c r="U212">
        <v>5</v>
      </c>
      <c r="V212">
        <v>72.099999999999994</v>
      </c>
      <c r="W212">
        <v>70.3</v>
      </c>
      <c r="X212">
        <v>2.5</v>
      </c>
      <c r="Y212">
        <v>27.2</v>
      </c>
      <c r="Z212">
        <v>0</v>
      </c>
      <c r="AB212">
        <v>3.6</v>
      </c>
      <c r="AC212">
        <v>147</v>
      </c>
      <c r="AD212">
        <v>1.5</v>
      </c>
      <c r="AE212">
        <v>105</v>
      </c>
      <c r="AF212" t="s">
        <v>1019</v>
      </c>
      <c r="AG212">
        <v>1.3</v>
      </c>
      <c r="AI212">
        <v>8</v>
      </c>
      <c r="AJ212">
        <v>2.94</v>
      </c>
      <c r="AK212">
        <v>5.3</v>
      </c>
      <c r="AL212">
        <v>28</v>
      </c>
      <c r="AM212">
        <v>101</v>
      </c>
      <c r="AN212">
        <v>10.3</v>
      </c>
      <c r="AO212">
        <v>13.9</v>
      </c>
      <c r="AP212">
        <v>11</v>
      </c>
      <c r="AQ212">
        <v>4.4000000000000004</v>
      </c>
      <c r="AR212">
        <v>1.41</v>
      </c>
      <c r="AS212">
        <v>31.8</v>
      </c>
      <c r="AT212">
        <v>69.7</v>
      </c>
      <c r="AU212">
        <v>75.7</v>
      </c>
      <c r="AV212">
        <v>24.8</v>
      </c>
      <c r="AW212">
        <v>7456</v>
      </c>
      <c r="AX212" t="s">
        <v>1020</v>
      </c>
      <c r="AY212" t="s">
        <v>1021</v>
      </c>
      <c r="AZ212">
        <v>299.60000000000002</v>
      </c>
      <c r="BA212">
        <v>50.7</v>
      </c>
      <c r="BB212">
        <v>4.4000000000000004</v>
      </c>
      <c r="BC212">
        <v>5.3</v>
      </c>
      <c r="BD212">
        <v>3.9</v>
      </c>
      <c r="BE212">
        <v>5</v>
      </c>
    </row>
    <row r="213" spans="1:57" x14ac:dyDescent="0.25">
      <c r="A213" t="s">
        <v>650</v>
      </c>
      <c r="B213">
        <v>105</v>
      </c>
      <c r="C213" t="s">
        <v>49</v>
      </c>
      <c r="D213">
        <v>1</v>
      </c>
      <c r="E213" t="s">
        <v>40</v>
      </c>
      <c r="F213" t="s">
        <v>49</v>
      </c>
      <c r="G213">
        <v>1038.5</v>
      </c>
      <c r="H213">
        <v>0</v>
      </c>
      <c r="I213">
        <v>1</v>
      </c>
      <c r="J213">
        <v>1</v>
      </c>
      <c r="K213" t="s">
        <v>894</v>
      </c>
      <c r="L213" t="s">
        <v>865</v>
      </c>
      <c r="M213" t="s">
        <v>865</v>
      </c>
      <c r="P213" t="s">
        <v>110</v>
      </c>
      <c r="Q213">
        <v>5.3</v>
      </c>
      <c r="R213">
        <v>7.1040000000000001</v>
      </c>
      <c r="S213">
        <v>11.3</v>
      </c>
      <c r="T213">
        <v>3.68</v>
      </c>
      <c r="U213">
        <v>5.3</v>
      </c>
      <c r="V213">
        <v>54.1</v>
      </c>
      <c r="W213">
        <v>53</v>
      </c>
      <c r="X213">
        <v>0.9</v>
      </c>
      <c r="Y213">
        <v>44.9</v>
      </c>
      <c r="Z213">
        <v>1.2</v>
      </c>
      <c r="AB213">
        <v>3.4</v>
      </c>
      <c r="AC213">
        <v>144</v>
      </c>
      <c r="AD213">
        <v>1.5</v>
      </c>
      <c r="AE213">
        <v>106</v>
      </c>
      <c r="AF213" t="s">
        <v>747</v>
      </c>
      <c r="AG213">
        <v>5.0999999999999996</v>
      </c>
      <c r="AI213">
        <v>6.3</v>
      </c>
      <c r="AJ213">
        <v>3.46</v>
      </c>
      <c r="AK213">
        <v>-3</v>
      </c>
      <c r="AL213">
        <v>20.9</v>
      </c>
      <c r="AM213">
        <v>101</v>
      </c>
      <c r="AN213">
        <v>11.3</v>
      </c>
      <c r="AO213">
        <v>14.7</v>
      </c>
      <c r="AP213">
        <v>11.5</v>
      </c>
      <c r="AQ213">
        <v>-3.5</v>
      </c>
      <c r="AR213">
        <v>1.27</v>
      </c>
      <c r="AS213">
        <v>26.6</v>
      </c>
      <c r="AT213">
        <v>61.1</v>
      </c>
      <c r="AU213">
        <v>65.599999999999994</v>
      </c>
      <c r="AV213">
        <v>25.9</v>
      </c>
      <c r="AW213">
        <v>7329</v>
      </c>
      <c r="AX213" t="s">
        <v>895</v>
      </c>
      <c r="AY213" t="s">
        <v>896</v>
      </c>
      <c r="AZ213">
        <v>322.60000000000002</v>
      </c>
      <c r="BA213">
        <v>78.7</v>
      </c>
      <c r="BB213">
        <v>-3.5</v>
      </c>
      <c r="BC213">
        <v>-3</v>
      </c>
      <c r="BD213">
        <v>-4.3</v>
      </c>
      <c r="BE213">
        <v>-3.4</v>
      </c>
    </row>
    <row r="214" spans="1:57" x14ac:dyDescent="0.25">
      <c r="A214" t="s">
        <v>842</v>
      </c>
      <c r="B214">
        <v>106</v>
      </c>
      <c r="C214" t="s">
        <v>51</v>
      </c>
      <c r="D214">
        <v>1</v>
      </c>
      <c r="E214" t="s">
        <v>146</v>
      </c>
      <c r="F214" t="s">
        <v>49</v>
      </c>
      <c r="G214">
        <v>932.1</v>
      </c>
      <c r="H214">
        <v>0</v>
      </c>
      <c r="I214">
        <v>1</v>
      </c>
      <c r="J214">
        <v>0</v>
      </c>
      <c r="K214" t="s">
        <v>1007</v>
      </c>
      <c r="L214" t="s">
        <v>865</v>
      </c>
      <c r="M214" t="s">
        <v>865</v>
      </c>
      <c r="P214" t="s">
        <v>111</v>
      </c>
      <c r="Q214">
        <v>4.9000000000000004</v>
      </c>
      <c r="R214">
        <v>7.0590000000000002</v>
      </c>
      <c r="S214">
        <v>15.9</v>
      </c>
      <c r="T214">
        <v>4.28</v>
      </c>
      <c r="U214">
        <v>4.9000000000000004</v>
      </c>
      <c r="V214">
        <v>53.4</v>
      </c>
      <c r="W214">
        <v>51.8</v>
      </c>
      <c r="X214">
        <v>1.9</v>
      </c>
      <c r="Y214">
        <v>45.2</v>
      </c>
      <c r="Z214">
        <v>1.1000000000000001</v>
      </c>
      <c r="AB214">
        <v>3.5</v>
      </c>
      <c r="AC214">
        <v>144</v>
      </c>
      <c r="AD214">
        <v>1.42</v>
      </c>
      <c r="AE214">
        <v>99</v>
      </c>
      <c r="AF214" t="s">
        <v>844</v>
      </c>
      <c r="AG214">
        <v>2.1</v>
      </c>
      <c r="AI214">
        <v>5.8</v>
      </c>
      <c r="AJ214">
        <v>4.07</v>
      </c>
      <c r="AK214">
        <v>3.3</v>
      </c>
      <c r="AL214">
        <v>25.7</v>
      </c>
      <c r="AM214">
        <v>101</v>
      </c>
      <c r="AN214">
        <v>11.7</v>
      </c>
      <c r="AO214">
        <v>15.2</v>
      </c>
      <c r="AP214">
        <v>10.7</v>
      </c>
      <c r="AQ214">
        <v>2.1</v>
      </c>
      <c r="AR214">
        <v>1.17</v>
      </c>
      <c r="AS214">
        <v>33.6</v>
      </c>
      <c r="AT214">
        <v>78.400000000000006</v>
      </c>
      <c r="AU214">
        <v>83.6</v>
      </c>
      <c r="AV214">
        <v>24.3</v>
      </c>
      <c r="AW214">
        <v>7406</v>
      </c>
      <c r="AX214" t="s">
        <v>1008</v>
      </c>
      <c r="AY214" t="s">
        <v>1009</v>
      </c>
      <c r="AZ214">
        <v>293.3</v>
      </c>
      <c r="BA214">
        <v>87.3</v>
      </c>
      <c r="BB214">
        <v>2.1</v>
      </c>
      <c r="BC214">
        <v>3.3</v>
      </c>
      <c r="BD214">
        <v>1.4</v>
      </c>
      <c r="BE214">
        <v>2.9</v>
      </c>
    </row>
    <row r="215" spans="1:57" x14ac:dyDescent="0.25">
      <c r="A215" t="s">
        <v>617</v>
      </c>
      <c r="B215">
        <v>111</v>
      </c>
      <c r="C215" t="s">
        <v>53</v>
      </c>
      <c r="D215">
        <v>1</v>
      </c>
      <c r="E215" t="s">
        <v>54</v>
      </c>
      <c r="F215" t="s">
        <v>60</v>
      </c>
      <c r="G215">
        <v>1165</v>
      </c>
      <c r="H215">
        <v>0</v>
      </c>
      <c r="I215">
        <v>0</v>
      </c>
      <c r="J215">
        <v>1</v>
      </c>
      <c r="K215" t="s">
        <v>879</v>
      </c>
      <c r="L215" t="s">
        <v>865</v>
      </c>
      <c r="M215" t="s">
        <v>865</v>
      </c>
      <c r="P215" t="s">
        <v>112</v>
      </c>
      <c r="Q215">
        <v>5.6</v>
      </c>
      <c r="R215">
        <v>7.532</v>
      </c>
      <c r="S215">
        <v>4.84</v>
      </c>
      <c r="T215">
        <v>5.0199999999999996</v>
      </c>
      <c r="U215">
        <v>5.6</v>
      </c>
      <c r="V215">
        <v>91.1</v>
      </c>
      <c r="W215">
        <v>89.7</v>
      </c>
      <c r="X215">
        <v>1.2</v>
      </c>
      <c r="Y215">
        <v>8.8000000000000007</v>
      </c>
      <c r="Z215">
        <v>0.3</v>
      </c>
      <c r="AB215">
        <v>3.4</v>
      </c>
      <c r="AC215">
        <v>145</v>
      </c>
      <c r="AD215">
        <v>1.38</v>
      </c>
      <c r="AE215">
        <v>105</v>
      </c>
      <c r="AF215" t="s">
        <v>865</v>
      </c>
      <c r="AG215">
        <v>1.8</v>
      </c>
      <c r="AI215">
        <v>11.4</v>
      </c>
      <c r="AJ215">
        <v>2</v>
      </c>
      <c r="AK215">
        <v>7.8</v>
      </c>
      <c r="AL215">
        <v>31</v>
      </c>
      <c r="AM215">
        <v>101.1</v>
      </c>
      <c r="AN215">
        <v>9</v>
      </c>
      <c r="AO215">
        <v>12.4</v>
      </c>
      <c r="AP215">
        <v>12.4</v>
      </c>
      <c r="AQ215">
        <v>7.3</v>
      </c>
      <c r="AR215">
        <v>1.49</v>
      </c>
      <c r="AS215">
        <v>30.5</v>
      </c>
      <c r="AT215">
        <v>63.6</v>
      </c>
      <c r="AU215">
        <v>70.8</v>
      </c>
      <c r="AV215">
        <v>27.8</v>
      </c>
      <c r="AW215">
        <v>7500</v>
      </c>
      <c r="AX215" t="s">
        <v>880</v>
      </c>
      <c r="AY215" t="s">
        <v>881</v>
      </c>
      <c r="AZ215">
        <v>301.10000000000002</v>
      </c>
      <c r="BA215">
        <v>29.3</v>
      </c>
      <c r="BB215">
        <v>7.3</v>
      </c>
      <c r="BC215">
        <v>7.8</v>
      </c>
      <c r="BD215">
        <v>7.2</v>
      </c>
      <c r="BE215">
        <v>7.7</v>
      </c>
    </row>
    <row r="216" spans="1:57" x14ac:dyDescent="0.25">
      <c r="A216" t="s">
        <v>691</v>
      </c>
      <c r="B216">
        <v>107</v>
      </c>
      <c r="C216" t="s">
        <v>56</v>
      </c>
      <c r="D216">
        <v>1</v>
      </c>
      <c r="E216" t="s">
        <v>40</v>
      </c>
      <c r="F216" t="s">
        <v>60</v>
      </c>
      <c r="G216">
        <v>1075</v>
      </c>
      <c r="H216">
        <v>0</v>
      </c>
      <c r="I216">
        <v>1</v>
      </c>
      <c r="J216">
        <v>1</v>
      </c>
      <c r="K216" t="s">
        <v>910</v>
      </c>
      <c r="L216" t="s">
        <v>865</v>
      </c>
      <c r="M216" t="s">
        <v>865</v>
      </c>
      <c r="P216" t="s">
        <v>113</v>
      </c>
      <c r="Q216">
        <v>5.2</v>
      </c>
      <c r="R216">
        <v>7.3140000000000001</v>
      </c>
      <c r="S216">
        <v>7.41</v>
      </c>
      <c r="T216">
        <v>5.44</v>
      </c>
      <c r="U216">
        <v>5.2</v>
      </c>
      <c r="V216">
        <v>89.4</v>
      </c>
      <c r="W216">
        <v>87.6</v>
      </c>
      <c r="X216">
        <v>1.4</v>
      </c>
      <c r="Y216">
        <v>10.4</v>
      </c>
      <c r="Z216">
        <v>0.6</v>
      </c>
      <c r="AB216">
        <v>3.2</v>
      </c>
      <c r="AC216">
        <v>145</v>
      </c>
      <c r="AD216">
        <v>1.48</v>
      </c>
      <c r="AE216">
        <v>107</v>
      </c>
      <c r="AF216" t="s">
        <v>911</v>
      </c>
      <c r="AG216">
        <v>2.9</v>
      </c>
      <c r="AI216">
        <v>10.3</v>
      </c>
      <c r="AJ216">
        <v>2.39</v>
      </c>
      <c r="AK216">
        <v>2</v>
      </c>
      <c r="AL216">
        <v>25.7</v>
      </c>
      <c r="AM216">
        <v>101</v>
      </c>
      <c r="AN216">
        <v>10.1</v>
      </c>
      <c r="AO216">
        <v>13.3</v>
      </c>
      <c r="AP216">
        <v>11.4</v>
      </c>
      <c r="AQ216">
        <v>1.5</v>
      </c>
      <c r="AR216">
        <v>1.41</v>
      </c>
      <c r="AS216">
        <v>28.2</v>
      </c>
      <c r="AT216">
        <v>61.4</v>
      </c>
      <c r="AU216">
        <v>67.099999999999994</v>
      </c>
      <c r="AV216">
        <v>25.6</v>
      </c>
      <c r="AW216">
        <v>7419</v>
      </c>
      <c r="AX216" t="s">
        <v>912</v>
      </c>
      <c r="AY216" t="s">
        <v>913</v>
      </c>
      <c r="AZ216">
        <v>307</v>
      </c>
      <c r="BA216">
        <v>48.5</v>
      </c>
      <c r="BB216">
        <v>1.5</v>
      </c>
      <c r="BC216">
        <v>2</v>
      </c>
      <c r="BD216">
        <v>1.4</v>
      </c>
      <c r="BE216">
        <v>1.9</v>
      </c>
    </row>
    <row r="217" spans="1:57" x14ac:dyDescent="0.25">
      <c r="A217" t="s">
        <v>734</v>
      </c>
      <c r="C217" t="s">
        <v>80</v>
      </c>
      <c r="D217">
        <v>1</v>
      </c>
      <c r="E217" t="s">
        <v>142</v>
      </c>
      <c r="F217" t="s">
        <v>60</v>
      </c>
      <c r="G217">
        <v>1324.5</v>
      </c>
      <c r="H217">
        <v>1</v>
      </c>
      <c r="I217">
        <v>1</v>
      </c>
      <c r="J217">
        <v>0</v>
      </c>
      <c r="K217" t="s">
        <v>947</v>
      </c>
      <c r="L217" t="s">
        <v>865</v>
      </c>
      <c r="M217" t="s">
        <v>865</v>
      </c>
      <c r="O217">
        <v>1</v>
      </c>
      <c r="P217" t="s">
        <v>114</v>
      </c>
      <c r="Q217">
        <v>3.6</v>
      </c>
      <c r="R217">
        <v>7.1159999999999997</v>
      </c>
      <c r="S217">
        <v>9.5500000000000007</v>
      </c>
      <c r="T217">
        <v>14</v>
      </c>
      <c r="U217">
        <v>3.6</v>
      </c>
      <c r="V217">
        <v>103.2</v>
      </c>
      <c r="W217">
        <v>98.9</v>
      </c>
      <c r="X217">
        <v>3.3</v>
      </c>
      <c r="Y217">
        <v>-3.1</v>
      </c>
      <c r="Z217">
        <v>0.9</v>
      </c>
      <c r="AB217">
        <v>4.0999999999999996</v>
      </c>
      <c r="AC217">
        <v>143</v>
      </c>
      <c r="AD217">
        <v>1.31</v>
      </c>
      <c r="AE217">
        <v>101</v>
      </c>
      <c r="AF217" t="s">
        <v>764</v>
      </c>
      <c r="AG217">
        <v>9.1</v>
      </c>
      <c r="AK217">
        <v>-6.4</v>
      </c>
      <c r="AM217">
        <v>101</v>
      </c>
      <c r="AN217">
        <v>19.600000000000001</v>
      </c>
      <c r="AO217">
        <v>23.7</v>
      </c>
      <c r="AP217">
        <v>7.8</v>
      </c>
      <c r="AQ217">
        <v>-5.8</v>
      </c>
      <c r="AR217">
        <v>1.1200000000000001</v>
      </c>
      <c r="AS217">
        <v>23</v>
      </c>
      <c r="AU217">
        <v>56.5</v>
      </c>
      <c r="AV217">
        <v>17.899999999999999</v>
      </c>
      <c r="AW217">
        <v>7296</v>
      </c>
      <c r="AX217" t="s">
        <v>948</v>
      </c>
      <c r="AY217" t="s">
        <v>949</v>
      </c>
      <c r="AZ217">
        <v>293.8</v>
      </c>
      <c r="BA217">
        <v>76.599999999999994</v>
      </c>
      <c r="BB217">
        <v>-5.8</v>
      </c>
      <c r="BC217">
        <v>-6.4</v>
      </c>
    </row>
    <row r="218" spans="1:57" x14ac:dyDescent="0.25">
      <c r="A218" t="s">
        <v>711</v>
      </c>
      <c r="C218" t="s">
        <v>82</v>
      </c>
      <c r="D218">
        <v>1</v>
      </c>
      <c r="E218" t="s">
        <v>71</v>
      </c>
      <c r="F218" t="s">
        <v>60</v>
      </c>
      <c r="G218">
        <v>1206.8</v>
      </c>
      <c r="H218">
        <v>0</v>
      </c>
      <c r="I218">
        <v>0</v>
      </c>
      <c r="J218">
        <v>0</v>
      </c>
      <c r="K218" t="s">
        <v>934</v>
      </c>
      <c r="L218" t="s">
        <v>865</v>
      </c>
      <c r="M218" t="s">
        <v>865</v>
      </c>
      <c r="P218" t="s">
        <v>115</v>
      </c>
      <c r="Q218">
        <v>5.2</v>
      </c>
      <c r="R218">
        <v>7.5419999999999998</v>
      </c>
      <c r="S218">
        <v>4.2699999999999996</v>
      </c>
      <c r="T218">
        <v>11.2</v>
      </c>
      <c r="U218">
        <v>5.2</v>
      </c>
      <c r="V218">
        <v>100.5</v>
      </c>
      <c r="W218">
        <v>99.6</v>
      </c>
      <c r="X218">
        <v>1.1000000000000001</v>
      </c>
      <c r="Y218">
        <v>-0.5</v>
      </c>
      <c r="Z218">
        <v>-0.2</v>
      </c>
      <c r="AB218">
        <v>4.4000000000000004</v>
      </c>
      <c r="AC218">
        <v>195</v>
      </c>
      <c r="AD218">
        <v>0.52</v>
      </c>
      <c r="AE218">
        <v>131</v>
      </c>
      <c r="AF218" t="s">
        <v>935</v>
      </c>
      <c r="AG218">
        <v>1.5</v>
      </c>
      <c r="AI218">
        <v>11.9</v>
      </c>
      <c r="AJ218">
        <v>2.48</v>
      </c>
      <c r="AK218">
        <v>5</v>
      </c>
      <c r="AL218">
        <v>28.8</v>
      </c>
      <c r="AM218">
        <v>101.1</v>
      </c>
      <c r="AN218">
        <v>36.799999999999997</v>
      </c>
      <c r="AO218">
        <v>41.2</v>
      </c>
      <c r="AP218">
        <v>11.6</v>
      </c>
      <c r="AQ218">
        <v>4.8</v>
      </c>
      <c r="AR218">
        <v>0.56000000000000005</v>
      </c>
      <c r="AS218">
        <v>27.5</v>
      </c>
      <c r="AT218">
        <v>57.6</v>
      </c>
      <c r="AU218">
        <v>63.7</v>
      </c>
      <c r="AV218">
        <v>25.9</v>
      </c>
      <c r="AW218">
        <v>7469</v>
      </c>
      <c r="AX218" t="s">
        <v>936</v>
      </c>
      <c r="AY218" t="s">
        <v>937</v>
      </c>
      <c r="AZ218">
        <v>397.4</v>
      </c>
      <c r="BA218">
        <v>28.7</v>
      </c>
      <c r="BB218">
        <v>4.8</v>
      </c>
      <c r="BC218">
        <v>5</v>
      </c>
      <c r="BD218">
        <v>4.8</v>
      </c>
      <c r="BE218">
        <v>5</v>
      </c>
    </row>
    <row r="219" spans="1:57" x14ac:dyDescent="0.25">
      <c r="A219" t="s">
        <v>626</v>
      </c>
      <c r="B219">
        <v>113</v>
      </c>
      <c r="C219" t="s">
        <v>58</v>
      </c>
      <c r="D219">
        <v>1</v>
      </c>
      <c r="E219" t="s">
        <v>54</v>
      </c>
      <c r="F219" t="s">
        <v>49</v>
      </c>
      <c r="G219">
        <v>1129</v>
      </c>
      <c r="H219">
        <v>0</v>
      </c>
      <c r="I219">
        <v>0</v>
      </c>
      <c r="J219">
        <v>1</v>
      </c>
      <c r="K219" t="s">
        <v>874</v>
      </c>
      <c r="L219" t="s">
        <v>865</v>
      </c>
      <c r="M219" t="s">
        <v>865</v>
      </c>
      <c r="P219" t="s">
        <v>116</v>
      </c>
      <c r="Q219">
        <v>5.3</v>
      </c>
      <c r="R219">
        <v>7.4509999999999996</v>
      </c>
      <c r="S219">
        <v>6.16</v>
      </c>
      <c r="T219">
        <v>3.94</v>
      </c>
      <c r="U219">
        <v>5.3</v>
      </c>
      <c r="V219">
        <v>78.2</v>
      </c>
      <c r="W219">
        <v>76.599999999999994</v>
      </c>
      <c r="X219">
        <v>1.6</v>
      </c>
      <c r="Y219">
        <v>21.4</v>
      </c>
      <c r="Z219">
        <v>0.4</v>
      </c>
      <c r="AB219">
        <v>3.4</v>
      </c>
      <c r="AC219">
        <v>158</v>
      </c>
      <c r="AD219">
        <v>1.21</v>
      </c>
      <c r="AE219">
        <v>109</v>
      </c>
      <c r="AF219" t="s">
        <v>773</v>
      </c>
      <c r="AG219">
        <v>1.2</v>
      </c>
      <c r="AI219">
        <v>9.1</v>
      </c>
      <c r="AJ219">
        <v>2.39</v>
      </c>
      <c r="AK219">
        <v>8.1</v>
      </c>
      <c r="AL219">
        <v>30.8</v>
      </c>
      <c r="AM219">
        <v>101</v>
      </c>
      <c r="AN219">
        <v>17.2</v>
      </c>
      <c r="AO219">
        <v>20.5</v>
      </c>
      <c r="AP219">
        <v>11.6</v>
      </c>
      <c r="AQ219">
        <v>7.3</v>
      </c>
      <c r="AR219">
        <v>1.25</v>
      </c>
      <c r="AS219">
        <v>32.1</v>
      </c>
      <c r="AT219">
        <v>68.400000000000006</v>
      </c>
      <c r="AU219">
        <v>75.099999999999994</v>
      </c>
      <c r="AV219">
        <v>26</v>
      </c>
      <c r="AW219">
        <v>7499</v>
      </c>
      <c r="AX219" t="s">
        <v>875</v>
      </c>
      <c r="AY219" t="s">
        <v>876</v>
      </c>
      <c r="AZ219">
        <v>328.5</v>
      </c>
      <c r="BA219">
        <v>35.4</v>
      </c>
      <c r="BB219">
        <v>7.3</v>
      </c>
      <c r="BC219">
        <v>8.1</v>
      </c>
      <c r="BD219">
        <v>7</v>
      </c>
      <c r="BE219">
        <v>7.9</v>
      </c>
    </row>
    <row r="220" spans="1:57" x14ac:dyDescent="0.25">
      <c r="A220" t="s">
        <v>779</v>
      </c>
      <c r="B220">
        <v>114</v>
      </c>
      <c r="C220" t="s">
        <v>60</v>
      </c>
      <c r="D220">
        <v>1</v>
      </c>
      <c r="E220" t="s">
        <v>142</v>
      </c>
      <c r="F220" t="s">
        <v>49</v>
      </c>
      <c r="G220">
        <v>1191</v>
      </c>
      <c r="H220">
        <v>1</v>
      </c>
      <c r="I220">
        <v>1</v>
      </c>
      <c r="J220">
        <v>0</v>
      </c>
      <c r="K220" t="s">
        <v>973</v>
      </c>
      <c r="L220" t="s">
        <v>865</v>
      </c>
      <c r="M220" t="s">
        <v>865</v>
      </c>
      <c r="P220" t="s">
        <v>117</v>
      </c>
      <c r="Q220">
        <v>5.3</v>
      </c>
      <c r="R220">
        <v>7.3159999999999998</v>
      </c>
      <c r="S220">
        <v>8.94</v>
      </c>
      <c r="T220">
        <v>2.84</v>
      </c>
      <c r="U220">
        <v>5.3</v>
      </c>
      <c r="V220">
        <v>43.2</v>
      </c>
      <c r="W220">
        <v>42.5</v>
      </c>
      <c r="X220">
        <v>1.1000000000000001</v>
      </c>
      <c r="Y220">
        <v>55.8</v>
      </c>
      <c r="Z220">
        <v>0.6</v>
      </c>
      <c r="AB220">
        <v>4.0999999999999996</v>
      </c>
      <c r="AC220">
        <v>160</v>
      </c>
      <c r="AD220">
        <v>0.89</v>
      </c>
      <c r="AE220">
        <v>103</v>
      </c>
      <c r="AF220" t="s">
        <v>974</v>
      </c>
      <c r="AG220">
        <v>1.5</v>
      </c>
      <c r="AI220">
        <v>5.0999999999999996</v>
      </c>
      <c r="AJ220">
        <v>3.17</v>
      </c>
      <c r="AK220">
        <v>8</v>
      </c>
      <c r="AL220">
        <v>29.8</v>
      </c>
      <c r="AM220">
        <v>101</v>
      </c>
      <c r="AN220">
        <v>22.2</v>
      </c>
      <c r="AO220">
        <v>26.3</v>
      </c>
      <c r="AP220">
        <v>11.6</v>
      </c>
      <c r="AQ220">
        <v>6.8</v>
      </c>
      <c r="AR220">
        <v>0.85</v>
      </c>
      <c r="AS220">
        <v>34.200000000000003</v>
      </c>
      <c r="AT220">
        <v>74.900000000000006</v>
      </c>
      <c r="AU220">
        <v>81.3</v>
      </c>
      <c r="AV220">
        <v>26.1</v>
      </c>
      <c r="AW220">
        <v>7488</v>
      </c>
      <c r="AX220" t="s">
        <v>975</v>
      </c>
      <c r="AY220" t="s">
        <v>906</v>
      </c>
      <c r="AZ220">
        <v>323</v>
      </c>
      <c r="BA220">
        <v>48.3</v>
      </c>
      <c r="BB220">
        <v>6.8</v>
      </c>
      <c r="BC220">
        <v>8</v>
      </c>
      <c r="BD220">
        <v>5.9</v>
      </c>
      <c r="BE220">
        <v>7.5</v>
      </c>
    </row>
    <row r="221" spans="1:57" x14ac:dyDescent="0.25">
      <c r="A221" t="s">
        <v>678</v>
      </c>
      <c r="C221" t="s">
        <v>62</v>
      </c>
      <c r="D221">
        <v>1</v>
      </c>
      <c r="E221" t="s">
        <v>40</v>
      </c>
      <c r="F221" t="s">
        <v>60</v>
      </c>
      <c r="G221">
        <v>1468</v>
      </c>
      <c r="H221">
        <v>0</v>
      </c>
      <c r="I221">
        <v>1</v>
      </c>
      <c r="J221">
        <v>1</v>
      </c>
      <c r="K221" t="s">
        <v>916</v>
      </c>
      <c r="L221" t="s">
        <v>865</v>
      </c>
      <c r="M221" t="s">
        <v>865</v>
      </c>
      <c r="P221" t="s">
        <v>118</v>
      </c>
      <c r="Q221">
        <v>3.7</v>
      </c>
      <c r="R221">
        <v>7.1779999999999999</v>
      </c>
      <c r="S221">
        <v>10.7</v>
      </c>
      <c r="T221">
        <v>11.5</v>
      </c>
      <c r="U221">
        <v>3.7</v>
      </c>
      <c r="V221">
        <v>103.5</v>
      </c>
      <c r="W221">
        <v>99.3</v>
      </c>
      <c r="X221">
        <v>3</v>
      </c>
      <c r="Y221">
        <v>-3.4</v>
      </c>
      <c r="Z221">
        <v>1.1000000000000001</v>
      </c>
      <c r="AB221">
        <v>2.9</v>
      </c>
      <c r="AC221">
        <v>168</v>
      </c>
      <c r="AD221">
        <v>1.08</v>
      </c>
      <c r="AE221">
        <v>117</v>
      </c>
      <c r="AF221" t="s">
        <v>917</v>
      </c>
      <c r="AG221">
        <v>2.7</v>
      </c>
      <c r="AK221">
        <v>1.5</v>
      </c>
      <c r="AM221">
        <v>101</v>
      </c>
      <c r="AN221">
        <v>21</v>
      </c>
      <c r="AO221">
        <v>23.9</v>
      </c>
      <c r="AP221">
        <v>8</v>
      </c>
      <c r="AQ221">
        <v>1.3</v>
      </c>
      <c r="AR221">
        <v>0.96</v>
      </c>
      <c r="AS221">
        <v>29.9</v>
      </c>
      <c r="AU221">
        <v>72.5</v>
      </c>
      <c r="AV221">
        <v>18.399999999999999</v>
      </c>
      <c r="AW221">
        <v>7408</v>
      </c>
      <c r="AX221" t="s">
        <v>918</v>
      </c>
      <c r="AY221" t="s">
        <v>919</v>
      </c>
      <c r="AZ221">
        <v>364.4</v>
      </c>
      <c r="BA221">
        <v>66.400000000000006</v>
      </c>
      <c r="BB221">
        <v>1.3</v>
      </c>
      <c r="BC221">
        <v>1.5</v>
      </c>
    </row>
    <row r="222" spans="1:57" x14ac:dyDescent="0.25">
      <c r="A222" t="s">
        <v>799</v>
      </c>
      <c r="C222" t="s">
        <v>64</v>
      </c>
      <c r="D222">
        <v>1</v>
      </c>
      <c r="E222" t="s">
        <v>146</v>
      </c>
      <c r="F222" t="s">
        <v>60</v>
      </c>
      <c r="G222">
        <v>1314.8</v>
      </c>
      <c r="H222">
        <v>0</v>
      </c>
      <c r="I222">
        <v>1</v>
      </c>
      <c r="J222">
        <v>0</v>
      </c>
      <c r="K222" t="s">
        <v>1015</v>
      </c>
      <c r="L222" t="s">
        <v>865</v>
      </c>
      <c r="M222" t="s">
        <v>865</v>
      </c>
      <c r="P222" t="s">
        <v>119</v>
      </c>
      <c r="Q222">
        <v>4.9000000000000004</v>
      </c>
      <c r="R222">
        <v>7.1580000000000004</v>
      </c>
      <c r="S222">
        <v>13.3</v>
      </c>
      <c r="T222">
        <v>32.200000000000003</v>
      </c>
      <c r="U222">
        <v>4.9000000000000004</v>
      </c>
      <c r="V222">
        <v>105.4</v>
      </c>
      <c r="W222">
        <v>101.3</v>
      </c>
      <c r="X222">
        <v>2.9</v>
      </c>
      <c r="Y222">
        <v>-5.2</v>
      </c>
      <c r="Z222">
        <v>1</v>
      </c>
      <c r="AB222">
        <v>3.2</v>
      </c>
      <c r="AC222">
        <v>156</v>
      </c>
      <c r="AD222">
        <v>1.52</v>
      </c>
      <c r="AE222">
        <v>109</v>
      </c>
      <c r="AF222" t="s">
        <v>968</v>
      </c>
      <c r="AG222">
        <v>0.8</v>
      </c>
      <c r="AK222">
        <v>6.5</v>
      </c>
      <c r="AM222">
        <v>101</v>
      </c>
      <c r="AN222">
        <v>11.7</v>
      </c>
      <c r="AO222">
        <v>14.9</v>
      </c>
      <c r="AP222">
        <v>10.6</v>
      </c>
      <c r="AQ222">
        <v>5.2</v>
      </c>
      <c r="AR222">
        <v>1.33</v>
      </c>
      <c r="AS222">
        <v>35.200000000000003</v>
      </c>
      <c r="AU222">
        <v>85.8</v>
      </c>
      <c r="AV222">
        <v>24.4</v>
      </c>
      <c r="AW222">
        <v>7457</v>
      </c>
      <c r="AX222" t="s">
        <v>1016</v>
      </c>
      <c r="AY222" t="s">
        <v>1017</v>
      </c>
      <c r="AZ222">
        <v>317.5</v>
      </c>
      <c r="BA222">
        <v>69.5</v>
      </c>
      <c r="BB222">
        <v>5.2</v>
      </c>
      <c r="BC222">
        <v>6.5</v>
      </c>
    </row>
    <row r="223" spans="1:57" x14ac:dyDescent="0.25">
      <c r="A223" t="s">
        <v>775</v>
      </c>
      <c r="B223">
        <v>104</v>
      </c>
      <c r="C223" t="s">
        <v>68</v>
      </c>
      <c r="D223">
        <v>1</v>
      </c>
      <c r="E223" t="s">
        <v>142</v>
      </c>
      <c r="F223" t="s">
        <v>49</v>
      </c>
      <c r="G223">
        <v>988.2</v>
      </c>
      <c r="H223">
        <v>1</v>
      </c>
      <c r="I223">
        <v>1</v>
      </c>
      <c r="J223">
        <v>0</v>
      </c>
      <c r="K223" t="s">
        <v>991</v>
      </c>
      <c r="L223" t="s">
        <v>865</v>
      </c>
      <c r="M223" t="s">
        <v>865</v>
      </c>
      <c r="P223" t="s">
        <v>120</v>
      </c>
      <c r="Q223">
        <v>3.3</v>
      </c>
      <c r="R223">
        <v>7.3250000000000002</v>
      </c>
      <c r="S223">
        <v>6.87</v>
      </c>
      <c r="T223">
        <v>2.59</v>
      </c>
      <c r="U223">
        <v>3.3</v>
      </c>
      <c r="V223">
        <v>44.8</v>
      </c>
      <c r="W223">
        <v>43.5</v>
      </c>
      <c r="X223">
        <v>2</v>
      </c>
      <c r="Y223">
        <v>53.5</v>
      </c>
      <c r="Z223">
        <v>1</v>
      </c>
      <c r="AB223">
        <v>3.7</v>
      </c>
      <c r="AC223">
        <v>143</v>
      </c>
      <c r="AD223">
        <v>1.35</v>
      </c>
      <c r="AE223">
        <v>102</v>
      </c>
      <c r="AF223" t="s">
        <v>721</v>
      </c>
      <c r="AG223">
        <v>4.4000000000000004</v>
      </c>
      <c r="AI223">
        <v>3.2</v>
      </c>
      <c r="AJ223">
        <v>2.82</v>
      </c>
      <c r="AK223">
        <v>0.8</v>
      </c>
      <c r="AL223">
        <v>24.7</v>
      </c>
      <c r="AM223">
        <v>101</v>
      </c>
      <c r="AN223">
        <v>14.3</v>
      </c>
      <c r="AO223">
        <v>18</v>
      </c>
      <c r="AP223">
        <v>7.1</v>
      </c>
      <c r="AQ223">
        <v>0.8</v>
      </c>
      <c r="AR223">
        <v>1.29</v>
      </c>
      <c r="AS223">
        <v>26.8</v>
      </c>
      <c r="AT223">
        <v>60.6</v>
      </c>
      <c r="AU223">
        <v>63.7</v>
      </c>
      <c r="AV223">
        <v>16.2</v>
      </c>
      <c r="AW223">
        <v>7410</v>
      </c>
      <c r="AX223" t="s">
        <v>761</v>
      </c>
      <c r="AY223" t="s">
        <v>992</v>
      </c>
      <c r="AZ223">
        <v>288.60000000000002</v>
      </c>
      <c r="BA223">
        <v>47.3</v>
      </c>
      <c r="BB223">
        <v>0.8</v>
      </c>
      <c r="BC223">
        <v>0.8</v>
      </c>
      <c r="BD223">
        <v>0.3</v>
      </c>
      <c r="BE223">
        <v>0.3</v>
      </c>
    </row>
    <row r="224" spans="1:57" x14ac:dyDescent="0.25">
      <c r="A224" t="s">
        <v>716</v>
      </c>
      <c r="B224">
        <v>112</v>
      </c>
      <c r="C224" t="s">
        <v>70</v>
      </c>
      <c r="D224">
        <v>1</v>
      </c>
      <c r="E224" t="s">
        <v>71</v>
      </c>
      <c r="F224" t="s">
        <v>49</v>
      </c>
      <c r="G224">
        <v>1004</v>
      </c>
      <c r="H224">
        <v>0</v>
      </c>
      <c r="I224">
        <v>0</v>
      </c>
      <c r="J224">
        <v>0</v>
      </c>
      <c r="K224" t="s">
        <v>925</v>
      </c>
      <c r="L224" t="s">
        <v>865</v>
      </c>
      <c r="M224" t="s">
        <v>865</v>
      </c>
      <c r="P224" t="s">
        <v>121</v>
      </c>
      <c r="Q224">
        <v>5.8</v>
      </c>
      <c r="R224">
        <v>7.476</v>
      </c>
      <c r="S224">
        <v>5.53</v>
      </c>
      <c r="T224">
        <v>8.2799999999999994</v>
      </c>
      <c r="U224">
        <v>5.8</v>
      </c>
      <c r="V224">
        <v>98.1</v>
      </c>
      <c r="W224">
        <v>97.1</v>
      </c>
      <c r="X224">
        <v>0.9</v>
      </c>
      <c r="Y224">
        <v>1.9</v>
      </c>
      <c r="Z224">
        <v>0.1</v>
      </c>
      <c r="AB224">
        <v>5.0999999999999996</v>
      </c>
      <c r="AC224">
        <v>154</v>
      </c>
      <c r="AD224">
        <v>1.1299999999999999</v>
      </c>
      <c r="AE224">
        <v>109</v>
      </c>
      <c r="AF224" t="s">
        <v>926</v>
      </c>
      <c r="AG224">
        <v>3.4</v>
      </c>
      <c r="AI224">
        <v>12.8</v>
      </c>
      <c r="AJ224">
        <v>2.63</v>
      </c>
      <c r="AK224">
        <v>7</v>
      </c>
      <c r="AL224">
        <v>30.2</v>
      </c>
      <c r="AM224">
        <v>101</v>
      </c>
      <c r="AN224">
        <v>14.3</v>
      </c>
      <c r="AO224">
        <v>19.399999999999999</v>
      </c>
      <c r="AP224">
        <v>12.9</v>
      </c>
      <c r="AQ224">
        <v>6.4</v>
      </c>
      <c r="AR224">
        <v>1.18</v>
      </c>
      <c r="AS224">
        <v>30.6</v>
      </c>
      <c r="AT224">
        <v>63.9</v>
      </c>
      <c r="AU224">
        <v>71.3</v>
      </c>
      <c r="AV224">
        <v>28.7</v>
      </c>
      <c r="AW224">
        <v>7488</v>
      </c>
      <c r="AX224" t="s">
        <v>927</v>
      </c>
      <c r="AY224" t="s">
        <v>928</v>
      </c>
      <c r="AZ224">
        <v>313.8</v>
      </c>
      <c r="BA224">
        <v>33.4</v>
      </c>
      <c r="BB224">
        <v>6.4</v>
      </c>
      <c r="BC224">
        <v>7</v>
      </c>
      <c r="BD224">
        <v>6.4</v>
      </c>
      <c r="BE224">
        <v>7</v>
      </c>
    </row>
    <row r="225" spans="1:57" x14ac:dyDescent="0.25">
      <c r="A225" t="s">
        <v>744</v>
      </c>
      <c r="B225">
        <v>117</v>
      </c>
      <c r="C225" t="s">
        <v>36</v>
      </c>
      <c r="D225">
        <v>2</v>
      </c>
      <c r="E225" t="s">
        <v>142</v>
      </c>
      <c r="F225" t="s">
        <v>383</v>
      </c>
      <c r="G225">
        <v>1210</v>
      </c>
      <c r="H225">
        <v>1</v>
      </c>
      <c r="I225">
        <v>1</v>
      </c>
      <c r="J225">
        <v>0</v>
      </c>
      <c r="K225" t="s">
        <v>208</v>
      </c>
      <c r="L225" t="s">
        <v>865</v>
      </c>
      <c r="M225" t="s">
        <v>865</v>
      </c>
      <c r="P225" t="s">
        <v>197</v>
      </c>
      <c r="Q225">
        <v>5.5</v>
      </c>
      <c r="R225">
        <v>7.1779999999999999</v>
      </c>
      <c r="S225">
        <v>10.3</v>
      </c>
      <c r="T225">
        <v>3.27</v>
      </c>
      <c r="U225">
        <v>5.5</v>
      </c>
      <c r="V225">
        <v>43.9</v>
      </c>
      <c r="W225">
        <v>43.3</v>
      </c>
      <c r="X225">
        <v>0.7</v>
      </c>
      <c r="Y225">
        <v>55.3</v>
      </c>
      <c r="Z225">
        <v>0.7</v>
      </c>
      <c r="AB225">
        <v>4.2</v>
      </c>
      <c r="AC225">
        <v>179</v>
      </c>
      <c r="AD225">
        <v>0.73</v>
      </c>
      <c r="AE225">
        <v>119</v>
      </c>
      <c r="AF225" t="s">
        <v>970</v>
      </c>
      <c r="AG225">
        <v>3.2</v>
      </c>
      <c r="AI225">
        <v>5.4</v>
      </c>
      <c r="AJ225">
        <v>3.6</v>
      </c>
      <c r="AK225">
        <v>0.3</v>
      </c>
      <c r="AL225">
        <v>23.2</v>
      </c>
      <c r="AM225">
        <v>100.4</v>
      </c>
      <c r="AN225">
        <v>31.1</v>
      </c>
      <c r="AO225">
        <v>35.299999999999997</v>
      </c>
      <c r="AP225">
        <v>12.2</v>
      </c>
      <c r="AQ225">
        <v>-0.6</v>
      </c>
      <c r="AR225">
        <v>0.65</v>
      </c>
      <c r="AS225">
        <v>28.7</v>
      </c>
      <c r="AT225">
        <v>64.5</v>
      </c>
      <c r="AU225">
        <v>69.7</v>
      </c>
      <c r="AV225">
        <v>27.3</v>
      </c>
      <c r="AW225">
        <v>7380</v>
      </c>
      <c r="AX225" t="s">
        <v>971</v>
      </c>
      <c r="AY225" t="s">
        <v>972</v>
      </c>
      <c r="AZ225">
        <v>360</v>
      </c>
      <c r="BA225">
        <v>66.400000000000006</v>
      </c>
      <c r="BB225">
        <v>-0.6</v>
      </c>
      <c r="BC225">
        <v>0.3</v>
      </c>
      <c r="BD225">
        <v>-1.5</v>
      </c>
      <c r="BE225">
        <v>-0.2</v>
      </c>
    </row>
    <row r="226" spans="1:57" x14ac:dyDescent="0.25">
      <c r="A226" t="s">
        <v>782</v>
      </c>
      <c r="B226">
        <v>123</v>
      </c>
      <c r="C226" t="s">
        <v>39</v>
      </c>
      <c r="D226">
        <v>2</v>
      </c>
      <c r="E226" t="s">
        <v>142</v>
      </c>
      <c r="F226" t="s">
        <v>382</v>
      </c>
      <c r="G226">
        <v>1015</v>
      </c>
      <c r="H226">
        <v>1</v>
      </c>
      <c r="I226">
        <v>1</v>
      </c>
      <c r="J226">
        <v>0</v>
      </c>
      <c r="K226" t="s">
        <v>201</v>
      </c>
      <c r="L226" t="s">
        <v>865</v>
      </c>
      <c r="M226" t="s">
        <v>865</v>
      </c>
      <c r="P226" t="s">
        <v>107</v>
      </c>
      <c r="Q226">
        <v>5.2</v>
      </c>
      <c r="R226">
        <v>7.4260000000000002</v>
      </c>
      <c r="S226">
        <v>5.78</v>
      </c>
      <c r="T226">
        <v>4.43</v>
      </c>
      <c r="U226">
        <v>5.2</v>
      </c>
      <c r="V226">
        <v>75.8</v>
      </c>
      <c r="W226">
        <v>74.3</v>
      </c>
      <c r="X226">
        <v>1.5</v>
      </c>
      <c r="Y226">
        <v>23.7</v>
      </c>
      <c r="Z226">
        <v>0.5</v>
      </c>
      <c r="AB226">
        <v>3.4</v>
      </c>
      <c r="AC226">
        <v>172</v>
      </c>
      <c r="AD226">
        <v>0.78</v>
      </c>
      <c r="AE226">
        <v>117</v>
      </c>
      <c r="AF226" t="s">
        <v>963</v>
      </c>
      <c r="AG226">
        <v>1.3</v>
      </c>
      <c r="AI226">
        <v>8.8000000000000007</v>
      </c>
      <c r="AJ226">
        <v>2.87</v>
      </c>
      <c r="AK226">
        <v>4.0999999999999996</v>
      </c>
      <c r="AL226">
        <v>27.4</v>
      </c>
      <c r="AM226">
        <v>100.4</v>
      </c>
      <c r="AN226">
        <v>26.6</v>
      </c>
      <c r="AO226">
        <v>30</v>
      </c>
      <c r="AP226">
        <v>11.5</v>
      </c>
      <c r="AQ226">
        <v>3.7</v>
      </c>
      <c r="AR226">
        <v>0.79</v>
      </c>
      <c r="AS226">
        <v>28.5</v>
      </c>
      <c r="AT226">
        <v>61</v>
      </c>
      <c r="AU226">
        <v>66.900000000000006</v>
      </c>
      <c r="AV226">
        <v>25.8</v>
      </c>
      <c r="AW226">
        <v>7453</v>
      </c>
      <c r="AX226" t="s">
        <v>964</v>
      </c>
      <c r="AY226" t="s">
        <v>965</v>
      </c>
      <c r="AZ226">
        <v>347.1</v>
      </c>
      <c r="BA226">
        <v>37.5</v>
      </c>
      <c r="BB226">
        <v>3.7</v>
      </c>
      <c r="BC226">
        <v>4.0999999999999996</v>
      </c>
      <c r="BD226">
        <v>3.3</v>
      </c>
      <c r="BE226">
        <v>3.9</v>
      </c>
    </row>
    <row r="227" spans="1:57" x14ac:dyDescent="0.25">
      <c r="A227" t="s">
        <v>981</v>
      </c>
      <c r="B227">
        <v>126</v>
      </c>
      <c r="C227" t="s">
        <v>43</v>
      </c>
      <c r="D227">
        <v>2</v>
      </c>
      <c r="E227" t="s">
        <v>142</v>
      </c>
      <c r="F227" t="s">
        <v>382</v>
      </c>
      <c r="G227">
        <v>1210</v>
      </c>
      <c r="H227">
        <v>1</v>
      </c>
      <c r="I227">
        <v>1</v>
      </c>
      <c r="J227">
        <v>0</v>
      </c>
      <c r="K227" t="s">
        <v>214</v>
      </c>
      <c r="L227" t="s">
        <v>865</v>
      </c>
      <c r="M227" t="s">
        <v>865</v>
      </c>
      <c r="P227" t="s">
        <v>108</v>
      </c>
      <c r="Q227">
        <v>5.2</v>
      </c>
      <c r="R227">
        <v>7.1</v>
      </c>
      <c r="S227">
        <v>9.5299999999999994</v>
      </c>
      <c r="T227">
        <v>4.33</v>
      </c>
      <c r="U227">
        <v>5.2</v>
      </c>
      <c r="V227">
        <v>57.8</v>
      </c>
      <c r="W227">
        <v>56.4</v>
      </c>
      <c r="X227">
        <v>1.8</v>
      </c>
      <c r="Y227">
        <v>41.2</v>
      </c>
      <c r="Z227">
        <v>0.6</v>
      </c>
      <c r="AB227">
        <v>6.7</v>
      </c>
      <c r="AC227">
        <v>141</v>
      </c>
      <c r="AD227">
        <v>1.01</v>
      </c>
      <c r="AE227">
        <v>98</v>
      </c>
      <c r="AF227" t="s">
        <v>982</v>
      </c>
      <c r="AG227">
        <v>0.9</v>
      </c>
      <c r="AI227">
        <v>6.6</v>
      </c>
      <c r="AJ227">
        <v>3.85</v>
      </c>
      <c r="AK227">
        <v>-7.5</v>
      </c>
      <c r="AL227">
        <v>17.8</v>
      </c>
      <c r="AM227">
        <v>100.4</v>
      </c>
      <c r="AN227">
        <v>20.2</v>
      </c>
      <c r="AO227">
        <v>26.9</v>
      </c>
      <c r="AP227">
        <v>11.3</v>
      </c>
      <c r="AQ227">
        <v>-7.5</v>
      </c>
      <c r="AR227">
        <v>0.86</v>
      </c>
      <c r="AS227">
        <v>22.2</v>
      </c>
      <c r="AT227">
        <v>50.9</v>
      </c>
      <c r="AU227">
        <v>54.6</v>
      </c>
      <c r="AV227">
        <v>25.4</v>
      </c>
      <c r="AW227">
        <v>7266</v>
      </c>
      <c r="AX227" t="s">
        <v>983</v>
      </c>
      <c r="AY227" t="s">
        <v>984</v>
      </c>
      <c r="AZ227">
        <v>322.5</v>
      </c>
      <c r="BA227">
        <v>79.5</v>
      </c>
      <c r="BB227">
        <v>-7.5</v>
      </c>
      <c r="BC227">
        <v>-7.5</v>
      </c>
      <c r="BD227">
        <v>-8.1999999999999993</v>
      </c>
      <c r="BE227">
        <v>-7.9</v>
      </c>
    </row>
    <row r="228" spans="1:57" x14ac:dyDescent="0.25">
      <c r="A228" t="s">
        <v>810</v>
      </c>
      <c r="B228">
        <v>136</v>
      </c>
      <c r="C228" t="s">
        <v>45</v>
      </c>
      <c r="D228">
        <v>2</v>
      </c>
      <c r="E228" t="s">
        <v>146</v>
      </c>
      <c r="F228" t="s">
        <v>382</v>
      </c>
      <c r="G228">
        <v>1041</v>
      </c>
      <c r="H228">
        <v>0</v>
      </c>
      <c r="I228">
        <v>1</v>
      </c>
      <c r="J228">
        <v>0</v>
      </c>
      <c r="K228" t="s">
        <v>215</v>
      </c>
      <c r="L228" t="s">
        <v>865</v>
      </c>
      <c r="M228" t="s">
        <v>865</v>
      </c>
      <c r="P228" t="s">
        <v>207</v>
      </c>
      <c r="Q228">
        <v>3.6</v>
      </c>
      <c r="R228">
        <v>7.3650000000000002</v>
      </c>
      <c r="S228">
        <v>6.27</v>
      </c>
      <c r="T228">
        <v>3.82</v>
      </c>
      <c r="U228">
        <v>3.6</v>
      </c>
      <c r="V228">
        <v>69.099999999999994</v>
      </c>
      <c r="W228">
        <v>66.8</v>
      </c>
      <c r="X228">
        <v>2.6</v>
      </c>
      <c r="Y228">
        <v>29.8</v>
      </c>
      <c r="Z228">
        <v>0.8</v>
      </c>
      <c r="AB228">
        <v>3.8</v>
      </c>
      <c r="AC228">
        <v>177</v>
      </c>
      <c r="AD228">
        <v>0.8</v>
      </c>
      <c r="AE228">
        <v>129</v>
      </c>
      <c r="AF228" t="s">
        <v>974</v>
      </c>
      <c r="AG228">
        <v>1.8</v>
      </c>
      <c r="AI228">
        <v>5.5</v>
      </c>
      <c r="AJ228">
        <v>2.79</v>
      </c>
      <c r="AK228">
        <v>1.5</v>
      </c>
      <c r="AL228">
        <v>25.4</v>
      </c>
      <c r="AM228">
        <v>100.4</v>
      </c>
      <c r="AN228">
        <v>21.4</v>
      </c>
      <c r="AO228">
        <v>25.3</v>
      </c>
      <c r="AP228">
        <v>7.9</v>
      </c>
      <c r="AQ228">
        <v>1.4</v>
      </c>
      <c r="AR228">
        <v>0.79</v>
      </c>
      <c r="AS228">
        <v>26.9</v>
      </c>
      <c r="AT228">
        <v>59.8</v>
      </c>
      <c r="AU228">
        <v>63.4</v>
      </c>
      <c r="AV228">
        <v>17.899999999999999</v>
      </c>
      <c r="AW228">
        <v>7419</v>
      </c>
      <c r="AX228" t="s">
        <v>993</v>
      </c>
      <c r="AY228" t="s">
        <v>994</v>
      </c>
      <c r="AZ228">
        <v>357.3</v>
      </c>
      <c r="BA228">
        <v>43.1</v>
      </c>
      <c r="BB228">
        <v>1.4</v>
      </c>
      <c r="BC228">
        <v>1.5</v>
      </c>
      <c r="BD228">
        <v>1</v>
      </c>
      <c r="BE228">
        <v>1.2</v>
      </c>
    </row>
    <row r="229" spans="1:57" x14ac:dyDescent="0.25">
      <c r="A229" t="s">
        <v>832</v>
      </c>
      <c r="B229">
        <v>133</v>
      </c>
      <c r="C229" t="s">
        <v>47</v>
      </c>
      <c r="D229">
        <v>2</v>
      </c>
      <c r="E229" t="s">
        <v>146</v>
      </c>
      <c r="F229" t="s">
        <v>382</v>
      </c>
      <c r="G229">
        <v>1260.5999999999999</v>
      </c>
      <c r="H229">
        <v>0</v>
      </c>
      <c r="I229">
        <v>1</v>
      </c>
      <c r="J229">
        <v>0</v>
      </c>
      <c r="K229" t="s">
        <v>225</v>
      </c>
      <c r="L229" t="s">
        <v>865</v>
      </c>
      <c r="M229" t="s">
        <v>865</v>
      </c>
      <c r="P229" t="s">
        <v>109</v>
      </c>
      <c r="Q229">
        <v>5.7</v>
      </c>
      <c r="R229">
        <v>7.3979999999999997</v>
      </c>
      <c r="S229">
        <v>6.44</v>
      </c>
      <c r="T229">
        <v>6.84</v>
      </c>
      <c r="U229">
        <v>5.7</v>
      </c>
      <c r="V229">
        <v>92.9</v>
      </c>
      <c r="W229">
        <v>91.4</v>
      </c>
      <c r="X229">
        <v>1.5</v>
      </c>
      <c r="Y229">
        <v>7</v>
      </c>
      <c r="Z229">
        <v>0.1</v>
      </c>
      <c r="AB229">
        <v>4.2</v>
      </c>
      <c r="AC229">
        <v>157</v>
      </c>
      <c r="AD229">
        <v>0.93</v>
      </c>
      <c r="AE229">
        <v>111</v>
      </c>
      <c r="AF229" t="s">
        <v>996</v>
      </c>
      <c r="AG229">
        <v>0.7</v>
      </c>
      <c r="AI229">
        <v>11.8</v>
      </c>
      <c r="AJ229">
        <v>2.59</v>
      </c>
      <c r="AK229">
        <v>4.9000000000000004</v>
      </c>
      <c r="AL229">
        <v>28.2</v>
      </c>
      <c r="AM229">
        <v>100.4</v>
      </c>
      <c r="AN229">
        <v>16.5</v>
      </c>
      <c r="AO229">
        <v>20.7</v>
      </c>
      <c r="AP229">
        <v>12.6</v>
      </c>
      <c r="AQ229">
        <v>4.3</v>
      </c>
      <c r="AR229">
        <v>0.93</v>
      </c>
      <c r="AS229">
        <v>29.7</v>
      </c>
      <c r="AT229">
        <v>63.2</v>
      </c>
      <c r="AU229">
        <v>70</v>
      </c>
      <c r="AV229">
        <v>28.1</v>
      </c>
      <c r="AW229">
        <v>7459</v>
      </c>
      <c r="AX229" t="s">
        <v>997</v>
      </c>
      <c r="AY229" t="s">
        <v>998</v>
      </c>
      <c r="AZ229">
        <v>322.5</v>
      </c>
      <c r="BA229">
        <v>40</v>
      </c>
      <c r="BB229">
        <v>4.3</v>
      </c>
      <c r="BC229">
        <v>4.9000000000000004</v>
      </c>
      <c r="BD229">
        <v>4.0999999999999996</v>
      </c>
      <c r="BE229">
        <v>4.8</v>
      </c>
    </row>
    <row r="230" spans="1:57" x14ac:dyDescent="0.25">
      <c r="A230" t="s">
        <v>655</v>
      </c>
      <c r="B230">
        <v>119</v>
      </c>
      <c r="C230" t="s">
        <v>49</v>
      </c>
      <c r="D230">
        <v>2</v>
      </c>
      <c r="E230" t="s">
        <v>40</v>
      </c>
      <c r="F230" t="s">
        <v>383</v>
      </c>
      <c r="G230">
        <v>1189</v>
      </c>
      <c r="H230">
        <v>0</v>
      </c>
      <c r="I230">
        <v>1</v>
      </c>
      <c r="J230">
        <v>1</v>
      </c>
      <c r="K230" t="s">
        <v>204</v>
      </c>
      <c r="L230" t="s">
        <v>865</v>
      </c>
      <c r="M230" t="s">
        <v>865</v>
      </c>
      <c r="O230">
        <v>1</v>
      </c>
      <c r="P230" t="s">
        <v>110</v>
      </c>
      <c r="Q230">
        <v>5.9</v>
      </c>
      <c r="R230">
        <v>7.1669999999999998</v>
      </c>
      <c r="S230">
        <v>10.5</v>
      </c>
      <c r="T230">
        <v>4.6500000000000004</v>
      </c>
      <c r="U230">
        <v>5.9</v>
      </c>
      <c r="V230">
        <v>70.8</v>
      </c>
      <c r="W230">
        <v>69.5</v>
      </c>
      <c r="X230">
        <v>1.2</v>
      </c>
      <c r="Y230">
        <v>28.7</v>
      </c>
      <c r="Z230">
        <v>0.6</v>
      </c>
      <c r="AB230">
        <v>3.6</v>
      </c>
      <c r="AC230">
        <v>143</v>
      </c>
      <c r="AD230">
        <v>1.45</v>
      </c>
      <c r="AE230">
        <v>104</v>
      </c>
      <c r="AF230" t="s">
        <v>909</v>
      </c>
      <c r="AG230">
        <v>4</v>
      </c>
      <c r="AI230">
        <v>9.4</v>
      </c>
      <c r="AJ230">
        <v>3.34</v>
      </c>
      <c r="AK230">
        <v>0.1</v>
      </c>
      <c r="AL230">
        <v>23.2</v>
      </c>
      <c r="AM230">
        <v>100.4</v>
      </c>
      <c r="AN230">
        <v>10.5</v>
      </c>
      <c r="AO230">
        <v>14.2</v>
      </c>
      <c r="AP230">
        <v>13.1</v>
      </c>
      <c r="AQ230">
        <v>-1</v>
      </c>
      <c r="AR230">
        <v>1.28</v>
      </c>
      <c r="AS230">
        <v>28.7</v>
      </c>
      <c r="AT230">
        <v>63.8</v>
      </c>
      <c r="AU230">
        <v>69.7</v>
      </c>
      <c r="AV230">
        <v>29.3</v>
      </c>
      <c r="AW230">
        <v>7373</v>
      </c>
      <c r="AX230" t="s">
        <v>889</v>
      </c>
      <c r="AY230" t="s">
        <v>754</v>
      </c>
      <c r="AZ230">
        <v>317.89999999999998</v>
      </c>
      <c r="BA230">
        <v>68</v>
      </c>
      <c r="BB230">
        <v>-1</v>
      </c>
      <c r="BC230">
        <v>0.1</v>
      </c>
      <c r="BD230">
        <v>-1.5</v>
      </c>
      <c r="BE230">
        <v>-0.2</v>
      </c>
    </row>
    <row r="231" spans="1:57" x14ac:dyDescent="0.25">
      <c r="A231" t="s">
        <v>601</v>
      </c>
      <c r="B231">
        <v>135</v>
      </c>
      <c r="C231" t="s">
        <v>51</v>
      </c>
      <c r="D231">
        <v>2</v>
      </c>
      <c r="E231" t="s">
        <v>54</v>
      </c>
      <c r="F231" t="s">
        <v>382</v>
      </c>
      <c r="G231">
        <v>1387</v>
      </c>
      <c r="H231">
        <v>0</v>
      </c>
      <c r="I231">
        <v>0</v>
      </c>
      <c r="J231">
        <v>1</v>
      </c>
      <c r="K231" t="s">
        <v>218</v>
      </c>
      <c r="L231" t="s">
        <v>865</v>
      </c>
      <c r="M231" t="s">
        <v>865</v>
      </c>
      <c r="P231" t="s">
        <v>111</v>
      </c>
      <c r="Q231">
        <v>6.2</v>
      </c>
      <c r="R231">
        <v>7.46</v>
      </c>
      <c r="S231">
        <v>5.2</v>
      </c>
      <c r="T231">
        <v>12.1</v>
      </c>
      <c r="U231">
        <v>6.2</v>
      </c>
      <c r="V231">
        <v>100</v>
      </c>
      <c r="W231">
        <v>99.1</v>
      </c>
      <c r="X231">
        <v>0.7</v>
      </c>
      <c r="Y231">
        <v>0</v>
      </c>
      <c r="Z231">
        <v>0.2</v>
      </c>
      <c r="AB231">
        <v>3.8</v>
      </c>
      <c r="AC231">
        <v>140</v>
      </c>
      <c r="AD231">
        <v>1.26</v>
      </c>
      <c r="AE231">
        <v>103</v>
      </c>
      <c r="AF231" t="s">
        <v>868</v>
      </c>
      <c r="AG231">
        <v>1.6</v>
      </c>
      <c r="AI231">
        <v>14</v>
      </c>
      <c r="AJ231">
        <v>2.63</v>
      </c>
      <c r="AK231">
        <v>3.9</v>
      </c>
      <c r="AL231">
        <v>27.7</v>
      </c>
      <c r="AM231">
        <v>100.4</v>
      </c>
      <c r="AN231">
        <v>9.1</v>
      </c>
      <c r="AO231">
        <v>12.9</v>
      </c>
      <c r="AP231">
        <v>13.8</v>
      </c>
      <c r="AQ231">
        <v>3.6</v>
      </c>
      <c r="AR231">
        <v>1.3</v>
      </c>
      <c r="AS231">
        <v>27.7</v>
      </c>
      <c r="AT231">
        <v>57.6</v>
      </c>
      <c r="AU231">
        <v>64.8</v>
      </c>
      <c r="AV231">
        <v>30.6</v>
      </c>
      <c r="AW231">
        <v>7452</v>
      </c>
      <c r="AX231" t="s">
        <v>869</v>
      </c>
      <c r="AY231" t="s">
        <v>870</v>
      </c>
      <c r="AZ231">
        <v>315.7</v>
      </c>
      <c r="BA231">
        <v>34.700000000000003</v>
      </c>
      <c r="BB231">
        <v>3.6</v>
      </c>
      <c r="BC231">
        <v>3.9</v>
      </c>
      <c r="BD231">
        <v>3.6</v>
      </c>
      <c r="BE231">
        <v>3.9</v>
      </c>
    </row>
    <row r="232" spans="1:57" x14ac:dyDescent="0.25">
      <c r="A232" t="s">
        <v>609</v>
      </c>
      <c r="B232">
        <v>132</v>
      </c>
      <c r="C232" t="s">
        <v>56</v>
      </c>
      <c r="D232">
        <v>2</v>
      </c>
      <c r="E232" t="s">
        <v>54</v>
      </c>
      <c r="F232" t="s">
        <v>383</v>
      </c>
      <c r="G232">
        <v>1015.2</v>
      </c>
      <c r="H232">
        <v>0</v>
      </c>
      <c r="I232">
        <v>0</v>
      </c>
      <c r="J232">
        <v>1</v>
      </c>
      <c r="K232" t="s">
        <v>228</v>
      </c>
      <c r="L232" t="s">
        <v>865</v>
      </c>
      <c r="M232" t="s">
        <v>865</v>
      </c>
      <c r="P232" t="s">
        <v>113</v>
      </c>
      <c r="Q232">
        <v>5.7</v>
      </c>
      <c r="R232">
        <v>7.4820000000000002</v>
      </c>
      <c r="S232">
        <v>4.76</v>
      </c>
      <c r="T232">
        <v>11.1</v>
      </c>
      <c r="U232">
        <v>5.7</v>
      </c>
      <c r="V232">
        <v>100.3</v>
      </c>
      <c r="W232">
        <v>99.1</v>
      </c>
      <c r="X232">
        <v>1.1000000000000001</v>
      </c>
      <c r="Y232">
        <v>-0.3</v>
      </c>
      <c r="Z232">
        <v>0.1</v>
      </c>
      <c r="AB232">
        <v>3.2</v>
      </c>
      <c r="AC232">
        <v>181</v>
      </c>
      <c r="AD232">
        <v>0.71</v>
      </c>
      <c r="AE232">
        <v>117</v>
      </c>
      <c r="AF232" t="s">
        <v>839</v>
      </c>
      <c r="AG232">
        <v>1.6</v>
      </c>
      <c r="AI232">
        <v>12.9</v>
      </c>
      <c r="AJ232">
        <v>2.59</v>
      </c>
      <c r="AK232">
        <v>3.3</v>
      </c>
      <c r="AL232">
        <v>27.3</v>
      </c>
      <c r="AM232">
        <v>100.4</v>
      </c>
      <c r="AN232">
        <v>37.700000000000003</v>
      </c>
      <c r="AO232">
        <v>40.799999999999997</v>
      </c>
      <c r="AP232">
        <v>12.6</v>
      </c>
      <c r="AQ232">
        <v>3.2</v>
      </c>
      <c r="AR232">
        <v>0.75</v>
      </c>
      <c r="AS232">
        <v>26.7</v>
      </c>
      <c r="AT232">
        <v>55.9</v>
      </c>
      <c r="AU232">
        <v>62.3</v>
      </c>
      <c r="AV232">
        <v>28.2</v>
      </c>
      <c r="AW232">
        <v>7446</v>
      </c>
      <c r="AX232" t="s">
        <v>877</v>
      </c>
      <c r="AY232" t="s">
        <v>878</v>
      </c>
      <c r="AZ232">
        <v>373.5</v>
      </c>
      <c r="BA232">
        <v>32.9</v>
      </c>
      <c r="BB232">
        <v>3.2</v>
      </c>
      <c r="BC232">
        <v>3.3</v>
      </c>
      <c r="BD232">
        <v>3.2</v>
      </c>
      <c r="BE232">
        <v>3.3</v>
      </c>
    </row>
    <row r="233" spans="1:57" x14ac:dyDescent="0.25">
      <c r="A233" t="s">
        <v>789</v>
      </c>
      <c r="B233">
        <v>128</v>
      </c>
      <c r="C233" t="s">
        <v>80</v>
      </c>
      <c r="D233">
        <v>2</v>
      </c>
      <c r="E233" t="s">
        <v>142</v>
      </c>
      <c r="F233" t="s">
        <v>382</v>
      </c>
      <c r="G233">
        <v>678</v>
      </c>
      <c r="H233">
        <v>1</v>
      </c>
      <c r="I233">
        <v>1</v>
      </c>
      <c r="J233">
        <v>0</v>
      </c>
      <c r="K233" t="s">
        <v>236</v>
      </c>
      <c r="L233" t="s">
        <v>865</v>
      </c>
      <c r="M233" t="s">
        <v>865</v>
      </c>
      <c r="P233" t="s">
        <v>114</v>
      </c>
      <c r="Q233">
        <v>5.0999999999999996</v>
      </c>
      <c r="R233">
        <v>7.4210000000000003</v>
      </c>
      <c r="S233">
        <v>5.81</v>
      </c>
      <c r="T233">
        <v>7.62</v>
      </c>
      <c r="U233">
        <v>5.0999999999999996</v>
      </c>
      <c r="V233">
        <v>100.5</v>
      </c>
      <c r="W233">
        <v>99.1</v>
      </c>
      <c r="X233">
        <v>1.1000000000000001</v>
      </c>
      <c r="Y233">
        <v>-0.5</v>
      </c>
      <c r="Z233">
        <v>0.3</v>
      </c>
      <c r="AB233">
        <v>3.8</v>
      </c>
      <c r="AC233">
        <v>167</v>
      </c>
      <c r="AD233">
        <v>0.99</v>
      </c>
      <c r="AE233">
        <v>118</v>
      </c>
      <c r="AF233" t="s">
        <v>954</v>
      </c>
      <c r="AG233">
        <v>1.1000000000000001</v>
      </c>
      <c r="AI233">
        <v>11.4</v>
      </c>
      <c r="AJ233">
        <v>2.78</v>
      </c>
      <c r="AK233">
        <v>3.9</v>
      </c>
      <c r="AL233">
        <v>27.6</v>
      </c>
      <c r="AM233">
        <v>100.4</v>
      </c>
      <c r="AN233">
        <v>20.7</v>
      </c>
      <c r="AO233">
        <v>24.5</v>
      </c>
      <c r="AP233">
        <v>11.3</v>
      </c>
      <c r="AQ233">
        <v>3.5</v>
      </c>
      <c r="AR233">
        <v>1</v>
      </c>
      <c r="AS233">
        <v>28.4</v>
      </c>
      <c r="AT233">
        <v>60.6</v>
      </c>
      <c r="AU233">
        <v>66.599999999999994</v>
      </c>
      <c r="AV233">
        <v>25.2</v>
      </c>
      <c r="AW233">
        <v>7450</v>
      </c>
      <c r="AX233" t="s">
        <v>814</v>
      </c>
      <c r="AY233" t="s">
        <v>955</v>
      </c>
      <c r="AZ233">
        <v>335.8</v>
      </c>
      <c r="BA233">
        <v>37.9</v>
      </c>
      <c r="BB233">
        <v>3.5</v>
      </c>
      <c r="BC233">
        <v>3.9</v>
      </c>
      <c r="BD233">
        <v>3.5</v>
      </c>
      <c r="BE233">
        <v>3.9</v>
      </c>
    </row>
    <row r="234" spans="1:57" x14ac:dyDescent="0.25">
      <c r="A234" t="s">
        <v>847</v>
      </c>
      <c r="B234">
        <v>141</v>
      </c>
      <c r="C234" t="s">
        <v>82</v>
      </c>
      <c r="D234">
        <v>2</v>
      </c>
      <c r="E234" t="s">
        <v>146</v>
      </c>
      <c r="F234" t="s">
        <v>383</v>
      </c>
      <c r="G234">
        <v>1405</v>
      </c>
      <c r="H234">
        <v>0</v>
      </c>
      <c r="I234">
        <v>1</v>
      </c>
      <c r="J234">
        <v>0</v>
      </c>
      <c r="K234" t="s">
        <v>196</v>
      </c>
      <c r="L234" t="s">
        <v>865</v>
      </c>
      <c r="M234" t="s">
        <v>865</v>
      </c>
      <c r="P234" t="s">
        <v>115</v>
      </c>
      <c r="Q234">
        <v>5.2</v>
      </c>
      <c r="R234">
        <v>7.2279999999999998</v>
      </c>
      <c r="S234">
        <v>9.75</v>
      </c>
      <c r="T234">
        <v>4.3499999999999996</v>
      </c>
      <c r="U234">
        <v>5.2</v>
      </c>
      <c r="V234">
        <v>57.7</v>
      </c>
      <c r="W234">
        <v>57.1</v>
      </c>
      <c r="X234">
        <v>1</v>
      </c>
      <c r="Y234">
        <v>41.9</v>
      </c>
      <c r="Z234">
        <v>0</v>
      </c>
      <c r="AB234">
        <v>3.6</v>
      </c>
      <c r="AC234">
        <v>173</v>
      </c>
      <c r="AD234">
        <v>0.91</v>
      </c>
      <c r="AE234">
        <v>129</v>
      </c>
      <c r="AF234" t="s">
        <v>862</v>
      </c>
      <c r="AG234">
        <v>0.8</v>
      </c>
      <c r="AI234">
        <v>6.8</v>
      </c>
      <c r="AJ234">
        <v>3.88</v>
      </c>
      <c r="AK234">
        <v>2.9</v>
      </c>
      <c r="AL234">
        <v>25.6</v>
      </c>
      <c r="AM234">
        <v>100.4</v>
      </c>
      <c r="AN234">
        <v>14.2</v>
      </c>
      <c r="AO234">
        <v>17.8</v>
      </c>
      <c r="AP234">
        <v>11.6</v>
      </c>
      <c r="AQ234">
        <v>2</v>
      </c>
      <c r="AR234">
        <v>0.82</v>
      </c>
      <c r="AS234">
        <v>30.5</v>
      </c>
      <c r="AT234">
        <v>67.8</v>
      </c>
      <c r="AU234">
        <v>73.3</v>
      </c>
      <c r="AV234">
        <v>25.8</v>
      </c>
      <c r="AW234">
        <v>7420</v>
      </c>
      <c r="AX234" t="s">
        <v>1005</v>
      </c>
      <c r="AY234" t="s">
        <v>1006</v>
      </c>
      <c r="AZ234">
        <v>351.3</v>
      </c>
      <c r="BA234">
        <v>59.1</v>
      </c>
      <c r="BB234">
        <v>2</v>
      </c>
      <c r="BC234">
        <v>2.9</v>
      </c>
      <c r="BD234">
        <v>1.3</v>
      </c>
      <c r="BE234">
        <v>2.5</v>
      </c>
    </row>
    <row r="235" spans="1:57" x14ac:dyDescent="0.25">
      <c r="A235" t="s">
        <v>695</v>
      </c>
      <c r="B235">
        <v>131</v>
      </c>
      <c r="C235" t="s">
        <v>58</v>
      </c>
      <c r="D235">
        <v>2</v>
      </c>
      <c r="E235" t="s">
        <v>71</v>
      </c>
      <c r="F235" t="s">
        <v>383</v>
      </c>
      <c r="G235">
        <v>1202.8</v>
      </c>
      <c r="H235">
        <v>0</v>
      </c>
      <c r="I235">
        <v>0</v>
      </c>
      <c r="J235">
        <v>0</v>
      </c>
      <c r="K235" t="s">
        <v>230</v>
      </c>
      <c r="L235" t="s">
        <v>865</v>
      </c>
      <c r="M235" t="s">
        <v>865</v>
      </c>
      <c r="P235" t="s">
        <v>116</v>
      </c>
      <c r="Q235">
        <v>6.3</v>
      </c>
      <c r="R235">
        <v>7.5289999999999999</v>
      </c>
      <c r="S235">
        <v>4.45</v>
      </c>
      <c r="T235">
        <v>12.1</v>
      </c>
      <c r="U235">
        <v>6.3</v>
      </c>
      <c r="V235">
        <v>99.8</v>
      </c>
      <c r="W235">
        <v>99.1</v>
      </c>
      <c r="X235">
        <v>0.6</v>
      </c>
      <c r="Y235">
        <v>0.2</v>
      </c>
      <c r="Z235">
        <v>0.1</v>
      </c>
      <c r="AB235">
        <v>3.6</v>
      </c>
      <c r="AC235">
        <v>207</v>
      </c>
      <c r="AD235">
        <v>0.44</v>
      </c>
      <c r="AE235">
        <v>143</v>
      </c>
      <c r="AF235" t="s">
        <v>940</v>
      </c>
      <c r="AG235">
        <v>1.2</v>
      </c>
      <c r="AI235">
        <v>14.3</v>
      </c>
      <c r="AJ235">
        <v>2.44</v>
      </c>
      <c r="AK235">
        <v>5.0999999999999996</v>
      </c>
      <c r="AL235">
        <v>29</v>
      </c>
      <c r="AM235">
        <v>100.4</v>
      </c>
      <c r="AN235">
        <v>37</v>
      </c>
      <c r="AO235">
        <v>40.6</v>
      </c>
      <c r="AP235">
        <v>14.1</v>
      </c>
      <c r="AQ235">
        <v>5.0999999999999996</v>
      </c>
      <c r="AR235">
        <v>0.47</v>
      </c>
      <c r="AS235">
        <v>27.8</v>
      </c>
      <c r="AT235">
        <v>57.2</v>
      </c>
      <c r="AU235">
        <v>64.599999999999994</v>
      </c>
      <c r="AV235">
        <v>31.3</v>
      </c>
      <c r="AW235">
        <v>7472</v>
      </c>
      <c r="AX235" t="s">
        <v>941</v>
      </c>
      <c r="AY235" t="s">
        <v>942</v>
      </c>
      <c r="AZ235">
        <v>418.8</v>
      </c>
      <c r="BA235">
        <v>29.6</v>
      </c>
      <c r="BB235">
        <v>5.0999999999999996</v>
      </c>
      <c r="BC235">
        <v>5.0999999999999996</v>
      </c>
      <c r="BD235">
        <v>5.0999999999999996</v>
      </c>
      <c r="BE235">
        <v>5.0999999999999996</v>
      </c>
    </row>
    <row r="236" spans="1:57" x14ac:dyDescent="0.25">
      <c r="A236" t="s">
        <v>771</v>
      </c>
      <c r="B236">
        <v>140</v>
      </c>
      <c r="C236" t="s">
        <v>60</v>
      </c>
      <c r="D236">
        <v>2</v>
      </c>
      <c r="E236" t="s">
        <v>142</v>
      </c>
      <c r="F236" t="s">
        <v>383</v>
      </c>
      <c r="G236">
        <v>1261</v>
      </c>
      <c r="H236">
        <v>1</v>
      </c>
      <c r="I236">
        <v>1</v>
      </c>
      <c r="J236">
        <v>0</v>
      </c>
      <c r="K236" t="s">
        <v>198</v>
      </c>
      <c r="L236" t="s">
        <v>865</v>
      </c>
      <c r="M236" t="s">
        <v>865</v>
      </c>
      <c r="P236" t="s">
        <v>117</v>
      </c>
      <c r="Q236">
        <v>5.6</v>
      </c>
      <c r="R236">
        <v>7.3460000000000001</v>
      </c>
      <c r="S236">
        <v>6.75</v>
      </c>
      <c r="T236">
        <v>18.3</v>
      </c>
      <c r="U236">
        <v>5.6</v>
      </c>
      <c r="V236">
        <v>100.6</v>
      </c>
      <c r="W236">
        <v>99.5</v>
      </c>
      <c r="X236">
        <v>0.7</v>
      </c>
      <c r="Y236">
        <v>-0.6</v>
      </c>
      <c r="Z236">
        <v>0.4</v>
      </c>
      <c r="AB236">
        <v>3.6</v>
      </c>
      <c r="AC236">
        <v>161</v>
      </c>
      <c r="AD236">
        <v>1.06</v>
      </c>
      <c r="AE236">
        <v>115</v>
      </c>
      <c r="AF236" t="s">
        <v>968</v>
      </c>
      <c r="AG236">
        <v>0.7</v>
      </c>
      <c r="AI236">
        <v>12.9</v>
      </c>
      <c r="AJ236">
        <v>3.03</v>
      </c>
      <c r="AK236">
        <v>2</v>
      </c>
      <c r="AL236">
        <v>25.8</v>
      </c>
      <c r="AM236">
        <v>100.4</v>
      </c>
      <c r="AN236">
        <v>18.399999999999999</v>
      </c>
      <c r="AO236">
        <v>22</v>
      </c>
      <c r="AP236">
        <v>12.4</v>
      </c>
      <c r="AQ236">
        <v>1.6</v>
      </c>
      <c r="AR236">
        <v>1.03</v>
      </c>
      <c r="AS236">
        <v>27.7</v>
      </c>
      <c r="AT236">
        <v>59.3</v>
      </c>
      <c r="AU236">
        <v>65.5</v>
      </c>
      <c r="AV236">
        <v>27.7</v>
      </c>
      <c r="AW236">
        <v>7421</v>
      </c>
      <c r="AX236" t="s">
        <v>761</v>
      </c>
      <c r="AY236" t="s">
        <v>969</v>
      </c>
      <c r="AZ236">
        <v>326.3</v>
      </c>
      <c r="BA236">
        <v>45.1</v>
      </c>
      <c r="BB236">
        <v>1.6</v>
      </c>
      <c r="BC236">
        <v>2</v>
      </c>
      <c r="BD236">
        <v>1.6</v>
      </c>
      <c r="BE236">
        <v>2</v>
      </c>
    </row>
    <row r="237" spans="1:57" x14ac:dyDescent="0.25">
      <c r="A237" t="s">
        <v>674</v>
      </c>
      <c r="B237">
        <v>115</v>
      </c>
      <c r="C237" t="s">
        <v>62</v>
      </c>
      <c r="D237">
        <v>2</v>
      </c>
      <c r="E237" t="s">
        <v>40</v>
      </c>
      <c r="F237" t="s">
        <v>383</v>
      </c>
      <c r="G237">
        <v>791</v>
      </c>
      <c r="H237">
        <v>0</v>
      </c>
      <c r="I237">
        <v>1</v>
      </c>
      <c r="J237">
        <v>1</v>
      </c>
      <c r="K237" t="s">
        <v>224</v>
      </c>
      <c r="L237" t="s">
        <v>865</v>
      </c>
      <c r="M237" t="s">
        <v>865</v>
      </c>
      <c r="P237" t="s">
        <v>216</v>
      </c>
      <c r="Q237">
        <v>5.6</v>
      </c>
      <c r="R237">
        <v>6.9939999999999998</v>
      </c>
      <c r="S237">
        <v>13.3</v>
      </c>
      <c r="T237">
        <v>5.19</v>
      </c>
      <c r="U237">
        <v>5.6</v>
      </c>
      <c r="V237">
        <v>63.5</v>
      </c>
      <c r="W237">
        <v>62.2</v>
      </c>
      <c r="X237">
        <v>1.2</v>
      </c>
      <c r="Y237">
        <v>35.700000000000003</v>
      </c>
      <c r="Z237">
        <v>0.9</v>
      </c>
      <c r="AB237">
        <v>4.5</v>
      </c>
      <c r="AC237">
        <v>168</v>
      </c>
      <c r="AD237">
        <v>1.2</v>
      </c>
      <c r="AE237">
        <v>116</v>
      </c>
      <c r="AF237" t="s">
        <v>747</v>
      </c>
      <c r="AG237">
        <v>7.2</v>
      </c>
      <c r="AI237">
        <v>7.9</v>
      </c>
      <c r="AJ237">
        <v>4.24</v>
      </c>
      <c r="AK237">
        <v>-7.2</v>
      </c>
      <c r="AL237">
        <v>17.600000000000001</v>
      </c>
      <c r="AM237">
        <v>100.4</v>
      </c>
      <c r="AN237">
        <v>27.7</v>
      </c>
      <c r="AO237">
        <v>32.200000000000003</v>
      </c>
      <c r="AP237">
        <v>12.3</v>
      </c>
      <c r="AQ237">
        <v>-7.8</v>
      </c>
      <c r="AR237">
        <v>0.96</v>
      </c>
      <c r="AS237">
        <v>24.2</v>
      </c>
      <c r="AT237">
        <v>57</v>
      </c>
      <c r="AU237">
        <v>61.1</v>
      </c>
      <c r="AV237">
        <v>27.7</v>
      </c>
      <c r="AW237">
        <v>7246</v>
      </c>
      <c r="AX237" t="s">
        <v>899</v>
      </c>
      <c r="AY237" t="s">
        <v>900</v>
      </c>
      <c r="AZ237">
        <v>369</v>
      </c>
      <c r="BA237">
        <v>101.5</v>
      </c>
      <c r="BB237">
        <v>-7.8</v>
      </c>
      <c r="BC237">
        <v>-7.2</v>
      </c>
      <c r="BD237">
        <v>-8.5</v>
      </c>
      <c r="BE237">
        <v>-7.5</v>
      </c>
    </row>
    <row r="238" spans="1:57" x14ac:dyDescent="0.25">
      <c r="A238" t="s">
        <v>727</v>
      </c>
      <c r="B238">
        <v>134</v>
      </c>
      <c r="C238" t="s">
        <v>64</v>
      </c>
      <c r="D238">
        <v>2</v>
      </c>
      <c r="E238" t="s">
        <v>71</v>
      </c>
      <c r="F238" t="s">
        <v>383</v>
      </c>
      <c r="G238">
        <v>1031</v>
      </c>
      <c r="H238">
        <v>0</v>
      </c>
      <c r="I238">
        <v>0</v>
      </c>
      <c r="J238">
        <v>0</v>
      </c>
      <c r="K238" t="s">
        <v>220</v>
      </c>
      <c r="L238" t="s">
        <v>865</v>
      </c>
      <c r="M238" t="s">
        <v>865</v>
      </c>
      <c r="P238" t="s">
        <v>119</v>
      </c>
      <c r="Q238">
        <v>5.0999999999999996</v>
      </c>
      <c r="R238">
        <v>7.55</v>
      </c>
      <c r="S238">
        <v>4.21</v>
      </c>
      <c r="T238">
        <v>7.25</v>
      </c>
      <c r="U238">
        <v>5.0999999999999996</v>
      </c>
      <c r="V238">
        <v>97.1</v>
      </c>
      <c r="W238">
        <v>95.5</v>
      </c>
      <c r="X238">
        <v>1.2</v>
      </c>
      <c r="Y238">
        <v>2.9</v>
      </c>
      <c r="Z238">
        <v>0.4</v>
      </c>
      <c r="AB238">
        <v>4.0999999999999996</v>
      </c>
      <c r="AC238">
        <v>157</v>
      </c>
      <c r="AD238">
        <v>0.94</v>
      </c>
      <c r="AE238">
        <v>109</v>
      </c>
      <c r="AF238" t="s">
        <v>752</v>
      </c>
      <c r="AG238">
        <v>1.4</v>
      </c>
      <c r="AI238">
        <v>11</v>
      </c>
      <c r="AJ238">
        <v>2.42</v>
      </c>
      <c r="AK238">
        <v>5.2</v>
      </c>
      <c r="AL238">
        <v>29</v>
      </c>
      <c r="AM238">
        <v>100.4</v>
      </c>
      <c r="AN238">
        <v>20</v>
      </c>
      <c r="AO238">
        <v>24.1</v>
      </c>
      <c r="AP238">
        <v>11.2</v>
      </c>
      <c r="AQ238">
        <v>5</v>
      </c>
      <c r="AR238">
        <v>1.02</v>
      </c>
      <c r="AS238">
        <v>27.6</v>
      </c>
      <c r="AT238">
        <v>58</v>
      </c>
      <c r="AU238">
        <v>64</v>
      </c>
      <c r="AV238">
        <v>25</v>
      </c>
      <c r="AW238">
        <v>7472</v>
      </c>
      <c r="AX238" t="s">
        <v>938</v>
      </c>
      <c r="AY238" t="s">
        <v>939</v>
      </c>
      <c r="AZ238">
        <v>317.2</v>
      </c>
      <c r="BA238">
        <v>28.2</v>
      </c>
      <c r="BB238">
        <v>5</v>
      </c>
      <c r="BC238">
        <v>5.2</v>
      </c>
      <c r="BD238">
        <v>5</v>
      </c>
      <c r="BE238">
        <v>5.2</v>
      </c>
    </row>
    <row r="239" spans="1:57" x14ac:dyDescent="0.25">
      <c r="A239" t="s">
        <v>748</v>
      </c>
      <c r="B239">
        <v>129</v>
      </c>
      <c r="C239" t="s">
        <v>66</v>
      </c>
      <c r="D239">
        <v>2</v>
      </c>
      <c r="E239" t="s">
        <v>142</v>
      </c>
      <c r="F239" t="s">
        <v>382</v>
      </c>
      <c r="G239">
        <v>1098.7</v>
      </c>
      <c r="H239">
        <v>1</v>
      </c>
      <c r="I239">
        <v>1</v>
      </c>
      <c r="J239">
        <v>0</v>
      </c>
      <c r="K239" t="s">
        <v>206</v>
      </c>
      <c r="L239" t="s">
        <v>865</v>
      </c>
      <c r="M239" t="s">
        <v>865</v>
      </c>
      <c r="P239" t="s">
        <v>221</v>
      </c>
      <c r="Q239">
        <v>5.7</v>
      </c>
      <c r="R239">
        <v>7.2960000000000003</v>
      </c>
      <c r="S239">
        <v>8.08</v>
      </c>
      <c r="T239">
        <v>5.9</v>
      </c>
      <c r="U239">
        <v>5.7</v>
      </c>
      <c r="V239">
        <v>82.8</v>
      </c>
      <c r="W239">
        <v>81.400000000000006</v>
      </c>
      <c r="X239">
        <v>1.1000000000000001</v>
      </c>
      <c r="Y239">
        <v>16.899999999999999</v>
      </c>
      <c r="Z239">
        <v>0.6</v>
      </c>
      <c r="AB239">
        <v>3.4</v>
      </c>
      <c r="AC239">
        <v>201</v>
      </c>
      <c r="AD239">
        <v>0.57999999999999996</v>
      </c>
      <c r="AE239">
        <v>144</v>
      </c>
      <c r="AF239" t="s">
        <v>756</v>
      </c>
      <c r="AG239">
        <v>0.8</v>
      </c>
      <c r="AI239">
        <v>10.5</v>
      </c>
      <c r="AJ239">
        <v>3.31</v>
      </c>
      <c r="AK239">
        <v>3.1</v>
      </c>
      <c r="AL239">
        <v>26.2</v>
      </c>
      <c r="AM239">
        <v>100.4</v>
      </c>
      <c r="AN239">
        <v>27.5</v>
      </c>
      <c r="AO239">
        <v>30.9</v>
      </c>
      <c r="AP239">
        <v>12.6</v>
      </c>
      <c r="AQ239">
        <v>2.2000000000000002</v>
      </c>
      <c r="AR239">
        <v>0.55000000000000004</v>
      </c>
      <c r="AS239">
        <v>29.5</v>
      </c>
      <c r="AT239">
        <v>64</v>
      </c>
      <c r="AU239">
        <v>70.400000000000006</v>
      </c>
      <c r="AV239">
        <v>28.1</v>
      </c>
      <c r="AW239">
        <v>7427</v>
      </c>
      <c r="AX239" t="s">
        <v>952</v>
      </c>
      <c r="AY239" t="s">
        <v>953</v>
      </c>
      <c r="AZ239">
        <v>406.1</v>
      </c>
      <c r="BA239">
        <v>50.5</v>
      </c>
      <c r="BB239">
        <v>2.2000000000000002</v>
      </c>
      <c r="BC239">
        <v>3.1</v>
      </c>
      <c r="BD239">
        <v>1.9</v>
      </c>
      <c r="BE239">
        <v>2.9</v>
      </c>
    </row>
    <row r="240" spans="1:57" x14ac:dyDescent="0.25">
      <c r="A240" t="s">
        <v>662</v>
      </c>
      <c r="B240">
        <v>124</v>
      </c>
      <c r="C240" t="s">
        <v>385</v>
      </c>
      <c r="D240">
        <v>2</v>
      </c>
      <c r="E240" t="s">
        <v>40</v>
      </c>
      <c r="F240" t="s">
        <v>382</v>
      </c>
      <c r="G240">
        <v>793.5</v>
      </c>
      <c r="H240">
        <v>0</v>
      </c>
      <c r="I240">
        <v>1</v>
      </c>
      <c r="J240">
        <v>1</v>
      </c>
      <c r="K240" t="s">
        <v>213</v>
      </c>
      <c r="L240" t="s">
        <v>865</v>
      </c>
      <c r="M240" t="s">
        <v>865</v>
      </c>
      <c r="P240" t="s">
        <v>223</v>
      </c>
      <c r="Q240">
        <v>4.4000000000000004</v>
      </c>
      <c r="R240">
        <v>7.3860000000000001</v>
      </c>
      <c r="S240">
        <v>6.11</v>
      </c>
      <c r="T240">
        <v>5.59</v>
      </c>
      <c r="U240">
        <v>4.4000000000000004</v>
      </c>
      <c r="V240">
        <v>93</v>
      </c>
      <c r="W240">
        <v>91.6</v>
      </c>
      <c r="X240">
        <v>3</v>
      </c>
      <c r="Y240">
        <v>6.9</v>
      </c>
      <c r="Z240">
        <v>-1.5</v>
      </c>
      <c r="AB240">
        <v>2.9</v>
      </c>
      <c r="AC240">
        <v>196</v>
      </c>
      <c r="AD240">
        <v>0.91</v>
      </c>
      <c r="AE240">
        <v>146</v>
      </c>
      <c r="AF240" t="s">
        <v>920</v>
      </c>
      <c r="AG240">
        <v>1.7</v>
      </c>
      <c r="AI240">
        <v>9</v>
      </c>
      <c r="AJ240">
        <v>2</v>
      </c>
      <c r="AK240">
        <v>2.4</v>
      </c>
      <c r="AL240">
        <v>26.3</v>
      </c>
      <c r="AM240">
        <v>100.4</v>
      </c>
      <c r="AN240">
        <v>22.3</v>
      </c>
      <c r="AO240">
        <v>25.1</v>
      </c>
      <c r="AP240">
        <v>9.5</v>
      </c>
      <c r="AQ240">
        <v>2.2000000000000002</v>
      </c>
      <c r="AR240">
        <v>0.9</v>
      </c>
      <c r="AS240">
        <v>27.5</v>
      </c>
      <c r="AT240">
        <v>59.9</v>
      </c>
      <c r="AU240">
        <v>64.7</v>
      </c>
      <c r="AV240">
        <v>21.6</v>
      </c>
      <c r="AW240">
        <v>7431</v>
      </c>
      <c r="AX240" t="s">
        <v>921</v>
      </c>
      <c r="AY240" t="s">
        <v>922</v>
      </c>
      <c r="AZ240">
        <v>402.4</v>
      </c>
      <c r="BA240">
        <v>41.1</v>
      </c>
      <c r="BB240">
        <v>2.2000000000000002</v>
      </c>
      <c r="BC240">
        <v>2.4</v>
      </c>
      <c r="BD240">
        <v>2.1</v>
      </c>
      <c r="BE240">
        <v>2.4</v>
      </c>
    </row>
    <row r="241" spans="1:57" x14ac:dyDescent="0.25">
      <c r="A241" t="s">
        <v>631</v>
      </c>
      <c r="B241">
        <v>118</v>
      </c>
      <c r="C241" t="s">
        <v>68</v>
      </c>
      <c r="D241">
        <v>2</v>
      </c>
      <c r="E241" t="s">
        <v>40</v>
      </c>
      <c r="F241" t="s">
        <v>382</v>
      </c>
      <c r="G241">
        <v>1303</v>
      </c>
      <c r="H241">
        <v>0</v>
      </c>
      <c r="I241">
        <v>1</v>
      </c>
      <c r="J241">
        <v>1</v>
      </c>
      <c r="K241" t="s">
        <v>232</v>
      </c>
      <c r="L241" t="s">
        <v>865</v>
      </c>
      <c r="M241" t="s">
        <v>865</v>
      </c>
      <c r="O241">
        <v>1</v>
      </c>
      <c r="P241" t="s">
        <v>120</v>
      </c>
      <c r="Q241">
        <v>5.6</v>
      </c>
      <c r="R241">
        <v>7.125</v>
      </c>
      <c r="S241">
        <v>10.7</v>
      </c>
      <c r="T241">
        <v>3.29</v>
      </c>
      <c r="U241">
        <v>5.6</v>
      </c>
      <c r="V241">
        <v>50.1</v>
      </c>
      <c r="W241">
        <v>49.4</v>
      </c>
      <c r="X241">
        <v>0.8</v>
      </c>
      <c r="Y241">
        <v>49.2</v>
      </c>
      <c r="Z241">
        <v>0.6</v>
      </c>
      <c r="AB241">
        <v>2.8</v>
      </c>
      <c r="AC241">
        <v>168</v>
      </c>
      <c r="AD241">
        <v>0.83</v>
      </c>
      <c r="AE241">
        <v>116</v>
      </c>
      <c r="AF241" t="s">
        <v>903</v>
      </c>
      <c r="AG241">
        <v>5.3</v>
      </c>
      <c r="AI241">
        <v>6.3</v>
      </c>
      <c r="AJ241">
        <v>3.29</v>
      </c>
      <c r="AK241">
        <v>-3</v>
      </c>
      <c r="AL241">
        <v>20.7</v>
      </c>
      <c r="AM241">
        <v>100.4</v>
      </c>
      <c r="AN241">
        <v>26.1</v>
      </c>
      <c r="AO241">
        <v>29</v>
      </c>
      <c r="AP241">
        <v>12.5</v>
      </c>
      <c r="AQ241">
        <v>-3.7</v>
      </c>
      <c r="AR241">
        <v>0.71</v>
      </c>
      <c r="AS241">
        <v>26.3</v>
      </c>
      <c r="AT241">
        <v>59.7</v>
      </c>
      <c r="AU241">
        <v>64.400000000000006</v>
      </c>
      <c r="AV241">
        <v>27.8</v>
      </c>
      <c r="AW241">
        <v>7329</v>
      </c>
      <c r="AX241" t="s">
        <v>904</v>
      </c>
      <c r="AY241" t="s">
        <v>905</v>
      </c>
      <c r="AZ241">
        <v>349.5</v>
      </c>
      <c r="BA241">
        <v>75</v>
      </c>
      <c r="BB241">
        <v>-3.7</v>
      </c>
      <c r="BC241">
        <v>-3</v>
      </c>
      <c r="BD241">
        <v>-4.5</v>
      </c>
      <c r="BE241">
        <v>-3.4</v>
      </c>
    </row>
    <row r="242" spans="1:57" x14ac:dyDescent="0.25">
      <c r="A242" t="s">
        <v>785</v>
      </c>
      <c r="B242">
        <v>125</v>
      </c>
      <c r="C242" t="s">
        <v>70</v>
      </c>
      <c r="D242">
        <v>2</v>
      </c>
      <c r="E242" t="s">
        <v>142</v>
      </c>
      <c r="F242" t="s">
        <v>383</v>
      </c>
      <c r="G242">
        <v>1327</v>
      </c>
      <c r="H242">
        <v>1</v>
      </c>
      <c r="I242">
        <v>1</v>
      </c>
      <c r="J242">
        <v>0</v>
      </c>
      <c r="K242" t="s">
        <v>217</v>
      </c>
      <c r="L242" t="s">
        <v>865</v>
      </c>
      <c r="M242" t="s">
        <v>865</v>
      </c>
      <c r="P242" t="s">
        <v>121</v>
      </c>
      <c r="Q242">
        <v>5.3</v>
      </c>
      <c r="R242">
        <v>7.2809999999999997</v>
      </c>
      <c r="S242">
        <v>7.2</v>
      </c>
      <c r="T242">
        <v>3.3</v>
      </c>
      <c r="U242">
        <v>5.3</v>
      </c>
      <c r="V242">
        <v>53.4</v>
      </c>
      <c r="W242">
        <v>52.6</v>
      </c>
      <c r="X242">
        <v>1.1000000000000001</v>
      </c>
      <c r="Y242">
        <v>45.9</v>
      </c>
      <c r="Z242">
        <v>0.4</v>
      </c>
      <c r="AB242">
        <v>4.4000000000000004</v>
      </c>
      <c r="AC242">
        <v>154</v>
      </c>
      <c r="AD242">
        <v>1.1599999999999999</v>
      </c>
      <c r="AE242">
        <v>110</v>
      </c>
      <c r="AF242" t="s">
        <v>985</v>
      </c>
      <c r="AG242">
        <v>3.2</v>
      </c>
      <c r="AI242">
        <v>6.3</v>
      </c>
      <c r="AJ242">
        <v>3.13</v>
      </c>
      <c r="AK242">
        <v>-1.3</v>
      </c>
      <c r="AL242">
        <v>22.5</v>
      </c>
      <c r="AM242">
        <v>100.4</v>
      </c>
      <c r="AN242">
        <v>18.2</v>
      </c>
      <c r="AO242">
        <v>22.6</v>
      </c>
      <c r="AP242">
        <v>11.7</v>
      </c>
      <c r="AQ242">
        <v>-1.5</v>
      </c>
      <c r="AR242">
        <v>1.0900000000000001</v>
      </c>
      <c r="AS242">
        <v>25.4</v>
      </c>
      <c r="AT242">
        <v>55.9</v>
      </c>
      <c r="AU242">
        <v>60.7</v>
      </c>
      <c r="AV242">
        <v>26.1</v>
      </c>
      <c r="AW242">
        <v>7373</v>
      </c>
      <c r="AX242" t="s">
        <v>986</v>
      </c>
      <c r="AY242" t="s">
        <v>987</v>
      </c>
      <c r="AZ242">
        <v>317.5</v>
      </c>
      <c r="BA242">
        <v>52.4</v>
      </c>
      <c r="BB242">
        <v>-1.5</v>
      </c>
      <c r="BC242">
        <v>-1.3</v>
      </c>
      <c r="BD242">
        <v>-2.2999999999999998</v>
      </c>
      <c r="BE242">
        <v>-1.7</v>
      </c>
    </row>
    <row r="243" spans="1:57" x14ac:dyDescent="0.25">
      <c r="A243" t="s">
        <v>622</v>
      </c>
      <c r="B243">
        <v>138</v>
      </c>
      <c r="C243" t="s">
        <v>386</v>
      </c>
      <c r="D243">
        <v>2</v>
      </c>
      <c r="E243" t="s">
        <v>54</v>
      </c>
      <c r="F243" t="s">
        <v>383</v>
      </c>
      <c r="G243">
        <v>1193</v>
      </c>
      <c r="H243">
        <v>0</v>
      </c>
      <c r="I243">
        <v>0</v>
      </c>
      <c r="J243">
        <v>1</v>
      </c>
      <c r="K243" t="s">
        <v>211</v>
      </c>
      <c r="L243" t="s">
        <v>865</v>
      </c>
      <c r="M243" t="s">
        <v>865</v>
      </c>
      <c r="P243" t="s">
        <v>227</v>
      </c>
      <c r="Q243">
        <v>5.5</v>
      </c>
      <c r="R243">
        <v>7.484</v>
      </c>
      <c r="S243">
        <v>4.8499999999999996</v>
      </c>
      <c r="T243">
        <v>6.11</v>
      </c>
      <c r="U243">
        <v>5.5</v>
      </c>
      <c r="V243">
        <v>94.6</v>
      </c>
      <c r="W243">
        <v>93.2</v>
      </c>
      <c r="X243">
        <v>1.3</v>
      </c>
      <c r="Y243">
        <v>5.3</v>
      </c>
      <c r="Z243">
        <v>0.2</v>
      </c>
      <c r="AB243">
        <v>3.8</v>
      </c>
      <c r="AC243">
        <v>172</v>
      </c>
      <c r="AD243">
        <v>0.72</v>
      </c>
      <c r="AE243">
        <v>115</v>
      </c>
      <c r="AF243" t="s">
        <v>871</v>
      </c>
      <c r="AG243">
        <v>1.5</v>
      </c>
      <c r="AI243">
        <v>11.7</v>
      </c>
      <c r="AJ243">
        <v>1.96</v>
      </c>
      <c r="AK243">
        <v>3.9</v>
      </c>
      <c r="AL243">
        <v>27.7</v>
      </c>
      <c r="AM243">
        <v>100.4</v>
      </c>
      <c r="AN243">
        <v>29.1</v>
      </c>
      <c r="AO243">
        <v>32.799999999999997</v>
      </c>
      <c r="AP243">
        <v>12.2</v>
      </c>
      <c r="AQ243">
        <v>3.7</v>
      </c>
      <c r="AR243">
        <v>0.76</v>
      </c>
      <c r="AS243">
        <v>27.3</v>
      </c>
      <c r="AT243">
        <v>57.5</v>
      </c>
      <c r="AU243">
        <v>63.8</v>
      </c>
      <c r="AV243">
        <v>27.3</v>
      </c>
      <c r="AW243">
        <v>7454</v>
      </c>
      <c r="AX243" t="s">
        <v>872</v>
      </c>
      <c r="AY243" t="s">
        <v>873</v>
      </c>
      <c r="AZ243">
        <v>369.3</v>
      </c>
      <c r="BA243">
        <v>32.799999999999997</v>
      </c>
      <c r="BB243">
        <v>3.7</v>
      </c>
      <c r="BC243">
        <v>3.9</v>
      </c>
      <c r="BD243">
        <v>3.6</v>
      </c>
      <c r="BE243">
        <v>3.8</v>
      </c>
    </row>
    <row r="244" spans="1:57" x14ac:dyDescent="0.25">
      <c r="A244" t="s">
        <v>835</v>
      </c>
      <c r="B244">
        <v>121</v>
      </c>
      <c r="C244" t="s">
        <v>388</v>
      </c>
      <c r="D244">
        <v>2</v>
      </c>
      <c r="E244" t="s">
        <v>146</v>
      </c>
      <c r="F244" t="s">
        <v>383</v>
      </c>
      <c r="G244">
        <v>741.5</v>
      </c>
      <c r="H244">
        <v>0</v>
      </c>
      <c r="I244">
        <v>1</v>
      </c>
      <c r="J244">
        <v>0</v>
      </c>
      <c r="K244" t="s">
        <v>209</v>
      </c>
      <c r="L244" t="s">
        <v>865</v>
      </c>
      <c r="M244" t="s">
        <v>865</v>
      </c>
      <c r="P244" t="s">
        <v>229</v>
      </c>
      <c r="Q244">
        <v>4.2</v>
      </c>
      <c r="R244">
        <v>7.3550000000000004</v>
      </c>
      <c r="S244">
        <v>6.35</v>
      </c>
      <c r="T244">
        <v>2.63</v>
      </c>
      <c r="U244">
        <v>4.2</v>
      </c>
      <c r="V244">
        <v>40.4</v>
      </c>
      <c r="W244">
        <v>40.200000000000003</v>
      </c>
      <c r="X244">
        <v>1.4</v>
      </c>
      <c r="Y244">
        <v>59.4</v>
      </c>
      <c r="Z244">
        <v>-1</v>
      </c>
      <c r="AB244">
        <v>3.1</v>
      </c>
      <c r="AC244">
        <v>171</v>
      </c>
      <c r="AD244">
        <v>0.77</v>
      </c>
      <c r="AE244">
        <v>120</v>
      </c>
      <c r="AF244" t="s">
        <v>1027</v>
      </c>
      <c r="AG244">
        <v>3.5</v>
      </c>
      <c r="AI244">
        <v>3.8</v>
      </c>
      <c r="AJ244">
        <v>3.07</v>
      </c>
      <c r="AK244">
        <v>1</v>
      </c>
      <c r="AL244">
        <v>24.6</v>
      </c>
      <c r="AM244">
        <v>100.4</v>
      </c>
      <c r="AN244">
        <v>24.9</v>
      </c>
      <c r="AO244">
        <v>28</v>
      </c>
      <c r="AP244">
        <v>9.3000000000000007</v>
      </c>
      <c r="AQ244">
        <v>0.9</v>
      </c>
      <c r="AR244">
        <v>0.75</v>
      </c>
      <c r="AS244">
        <v>26.6</v>
      </c>
      <c r="AT244">
        <v>58.8</v>
      </c>
      <c r="AU244">
        <v>62.8</v>
      </c>
      <c r="AV244">
        <v>20.8</v>
      </c>
      <c r="AW244">
        <v>7412</v>
      </c>
      <c r="AX244" t="s">
        <v>1028</v>
      </c>
      <c r="AY244" t="s">
        <v>866</v>
      </c>
      <c r="AZ244">
        <v>345.2</v>
      </c>
      <c r="BA244">
        <v>44.2</v>
      </c>
      <c r="BB244">
        <v>0.9</v>
      </c>
      <c r="BC244">
        <v>1</v>
      </c>
      <c r="BD244">
        <v>0.1</v>
      </c>
      <c r="BE244">
        <v>0.5</v>
      </c>
    </row>
    <row r="245" spans="1:57" x14ac:dyDescent="0.25">
      <c r="A245" t="s">
        <v>824</v>
      </c>
      <c r="B245">
        <v>127</v>
      </c>
      <c r="C245" t="s">
        <v>389</v>
      </c>
      <c r="D245">
        <v>2</v>
      </c>
      <c r="E245" t="s">
        <v>146</v>
      </c>
      <c r="F245" t="s">
        <v>383</v>
      </c>
      <c r="G245">
        <v>1281</v>
      </c>
      <c r="H245">
        <v>0</v>
      </c>
      <c r="I245">
        <v>1</v>
      </c>
      <c r="J245">
        <v>0</v>
      </c>
      <c r="K245" t="s">
        <v>205</v>
      </c>
      <c r="L245" t="s">
        <v>865</v>
      </c>
      <c r="M245" t="s">
        <v>865</v>
      </c>
      <c r="P245" t="s">
        <v>231</v>
      </c>
      <c r="Q245">
        <v>3.9</v>
      </c>
      <c r="R245">
        <v>7.2839999999999998</v>
      </c>
      <c r="S245">
        <v>8.25</v>
      </c>
      <c r="T245">
        <v>3.64</v>
      </c>
      <c r="U245">
        <v>3.9</v>
      </c>
      <c r="V245">
        <v>59.1</v>
      </c>
      <c r="W245">
        <v>57.6</v>
      </c>
      <c r="X245">
        <v>2</v>
      </c>
      <c r="Y245">
        <v>39.799999999999997</v>
      </c>
      <c r="Z245">
        <v>0.6</v>
      </c>
      <c r="AB245">
        <v>3.3</v>
      </c>
      <c r="AC245">
        <v>176</v>
      </c>
      <c r="AD245">
        <v>0.76</v>
      </c>
      <c r="AE245">
        <v>123</v>
      </c>
      <c r="AF245" t="s">
        <v>968</v>
      </c>
      <c r="AG245">
        <v>1.6</v>
      </c>
      <c r="AI245">
        <v>5.2</v>
      </c>
      <c r="AJ245">
        <v>3.15</v>
      </c>
      <c r="AK245">
        <v>2.6</v>
      </c>
      <c r="AL245">
        <v>26.1</v>
      </c>
      <c r="AM245">
        <v>100.4</v>
      </c>
      <c r="AN245">
        <v>24.1</v>
      </c>
      <c r="AO245">
        <v>27.4</v>
      </c>
      <c r="AP245">
        <v>8.6</v>
      </c>
      <c r="AQ245">
        <v>2.2999999999999998</v>
      </c>
      <c r="AR245">
        <v>0.71</v>
      </c>
      <c r="AS245">
        <v>29.3</v>
      </c>
      <c r="AT245">
        <v>65.8</v>
      </c>
      <c r="AU245">
        <v>70</v>
      </c>
      <c r="AV245">
        <v>19.399999999999999</v>
      </c>
      <c r="AW245">
        <v>7429</v>
      </c>
      <c r="AX245" t="s">
        <v>995</v>
      </c>
      <c r="AY245" t="s">
        <v>881</v>
      </c>
      <c r="AZ245">
        <v>356.7</v>
      </c>
      <c r="BA245">
        <v>52</v>
      </c>
      <c r="BB245">
        <v>2.2999999999999998</v>
      </c>
      <c r="BC245">
        <v>2.6</v>
      </c>
      <c r="BD245">
        <v>1.9</v>
      </c>
      <c r="BE245">
        <v>2.2999999999999998</v>
      </c>
    </row>
    <row r="246" spans="1:57" x14ac:dyDescent="0.25">
      <c r="A246" t="s">
        <v>828</v>
      </c>
      <c r="B246">
        <v>139</v>
      </c>
      <c r="C246" t="s">
        <v>390</v>
      </c>
      <c r="D246">
        <v>2</v>
      </c>
      <c r="E246" t="s">
        <v>146</v>
      </c>
      <c r="F246" t="s">
        <v>383</v>
      </c>
      <c r="G246">
        <v>1111</v>
      </c>
      <c r="H246">
        <v>0</v>
      </c>
      <c r="I246">
        <v>1</v>
      </c>
      <c r="J246">
        <v>0</v>
      </c>
      <c r="K246" t="s">
        <v>199</v>
      </c>
      <c r="L246" t="s">
        <v>865</v>
      </c>
      <c r="M246" t="s">
        <v>865</v>
      </c>
      <c r="P246" t="s">
        <v>233</v>
      </c>
      <c r="Q246">
        <v>4.4000000000000004</v>
      </c>
      <c r="R246">
        <v>7.4189999999999996</v>
      </c>
      <c r="S246">
        <v>6.25</v>
      </c>
      <c r="T246">
        <v>4.43</v>
      </c>
      <c r="U246">
        <v>4.4000000000000004</v>
      </c>
      <c r="V246">
        <v>78.7</v>
      </c>
      <c r="W246">
        <v>75.900000000000006</v>
      </c>
      <c r="X246">
        <v>2.9</v>
      </c>
      <c r="Y246">
        <v>20.6</v>
      </c>
      <c r="Z246">
        <v>0.6</v>
      </c>
      <c r="AB246">
        <v>3.3</v>
      </c>
      <c r="AC246">
        <v>172</v>
      </c>
      <c r="AD246">
        <v>0.61</v>
      </c>
      <c r="AE246">
        <v>118</v>
      </c>
      <c r="AF246" t="s">
        <v>970</v>
      </c>
      <c r="AG246">
        <v>1.3</v>
      </c>
      <c r="AI246">
        <v>7.6</v>
      </c>
      <c r="AJ246">
        <v>2.67</v>
      </c>
      <c r="AK246">
        <v>5.8</v>
      </c>
      <c r="AL246">
        <v>29</v>
      </c>
      <c r="AM246">
        <v>100.4</v>
      </c>
      <c r="AN246">
        <v>23.9</v>
      </c>
      <c r="AO246">
        <v>27.1</v>
      </c>
      <c r="AP246">
        <v>9.5</v>
      </c>
      <c r="AQ246">
        <v>5.3</v>
      </c>
      <c r="AR246">
        <v>0.62</v>
      </c>
      <c r="AS246">
        <v>30.3</v>
      </c>
      <c r="AT246">
        <v>65.900000000000006</v>
      </c>
      <c r="AU246">
        <v>71.099999999999994</v>
      </c>
      <c r="AV246">
        <v>21.7</v>
      </c>
      <c r="AW246">
        <v>7472</v>
      </c>
      <c r="AX246" t="s">
        <v>1026</v>
      </c>
      <c r="AY246" t="s">
        <v>881</v>
      </c>
      <c r="AZ246">
        <v>347</v>
      </c>
      <c r="BA246">
        <v>38.1</v>
      </c>
      <c r="BB246">
        <v>5.3</v>
      </c>
      <c r="BC246">
        <v>5.8</v>
      </c>
      <c r="BD246">
        <v>5</v>
      </c>
      <c r="BE246">
        <v>5.6</v>
      </c>
    </row>
    <row r="247" spans="1:57" x14ac:dyDescent="0.25">
      <c r="A247" t="s">
        <v>635</v>
      </c>
      <c r="B247">
        <v>122</v>
      </c>
      <c r="C247" t="s">
        <v>384</v>
      </c>
      <c r="D247">
        <v>2</v>
      </c>
      <c r="E247" t="s">
        <v>40</v>
      </c>
      <c r="F247" t="s">
        <v>383</v>
      </c>
      <c r="G247">
        <v>1340.4</v>
      </c>
      <c r="H247">
        <v>0</v>
      </c>
      <c r="I247">
        <v>1</v>
      </c>
      <c r="J247">
        <v>1</v>
      </c>
      <c r="K247" t="s">
        <v>222</v>
      </c>
      <c r="L247" t="s">
        <v>865</v>
      </c>
      <c r="M247" t="s">
        <v>865</v>
      </c>
      <c r="P247" t="s">
        <v>235</v>
      </c>
      <c r="Q247">
        <v>5.0999999999999996</v>
      </c>
      <c r="R247">
        <v>7.3360000000000003</v>
      </c>
      <c r="S247">
        <v>6.7</v>
      </c>
      <c r="T247">
        <v>3.11</v>
      </c>
      <c r="U247">
        <v>5.0999999999999996</v>
      </c>
      <c r="V247">
        <v>61.3</v>
      </c>
      <c r="W247">
        <v>60.1</v>
      </c>
      <c r="X247">
        <v>1.3</v>
      </c>
      <c r="Y247">
        <v>38</v>
      </c>
      <c r="Z247">
        <v>0.6</v>
      </c>
      <c r="AB247">
        <v>2.9</v>
      </c>
      <c r="AC247">
        <v>158</v>
      </c>
      <c r="AD247">
        <v>1.1100000000000001</v>
      </c>
      <c r="AE247">
        <v>112</v>
      </c>
      <c r="AF247" t="s">
        <v>914</v>
      </c>
      <c r="AG247">
        <v>3.3</v>
      </c>
      <c r="AI247">
        <v>7</v>
      </c>
      <c r="AJ247">
        <v>2.59</v>
      </c>
      <c r="AK247">
        <v>1</v>
      </c>
      <c r="AL247">
        <v>24.5</v>
      </c>
      <c r="AM247">
        <v>100.4</v>
      </c>
      <c r="AN247">
        <v>18.899999999999999</v>
      </c>
      <c r="AO247">
        <v>21.8</v>
      </c>
      <c r="AP247">
        <v>11.2</v>
      </c>
      <c r="AQ247">
        <v>0.7</v>
      </c>
      <c r="AR247">
        <v>1.07</v>
      </c>
      <c r="AS247">
        <v>26.8</v>
      </c>
      <c r="AT247">
        <v>58.5</v>
      </c>
      <c r="AU247">
        <v>63.6</v>
      </c>
      <c r="AV247">
        <v>25.3</v>
      </c>
      <c r="AW247">
        <v>7408</v>
      </c>
      <c r="AX247" t="s">
        <v>620</v>
      </c>
      <c r="AY247" t="s">
        <v>915</v>
      </c>
      <c r="AZ247">
        <v>324.39999999999998</v>
      </c>
      <c r="BA247">
        <v>46.2</v>
      </c>
      <c r="BB247">
        <v>0.7</v>
      </c>
      <c r="BC247">
        <v>1</v>
      </c>
      <c r="BD247">
        <v>0.1</v>
      </c>
      <c r="BE247">
        <v>0.6</v>
      </c>
    </row>
    <row r="248" spans="1:57" x14ac:dyDescent="0.25">
      <c r="A248" t="s">
        <v>759</v>
      </c>
      <c r="B248">
        <v>116</v>
      </c>
      <c r="C248" t="s">
        <v>387</v>
      </c>
      <c r="D248">
        <v>2</v>
      </c>
      <c r="E248" t="s">
        <v>142</v>
      </c>
      <c r="F248" t="s">
        <v>382</v>
      </c>
      <c r="G248">
        <v>1270</v>
      </c>
      <c r="H248">
        <v>1</v>
      </c>
      <c r="I248">
        <v>1</v>
      </c>
      <c r="J248">
        <v>0</v>
      </c>
      <c r="K248" t="s">
        <v>210</v>
      </c>
      <c r="L248" t="s">
        <v>865</v>
      </c>
      <c r="M248" t="s">
        <v>865</v>
      </c>
      <c r="O248">
        <v>1</v>
      </c>
      <c r="P248" t="s">
        <v>237</v>
      </c>
      <c r="Q248">
        <v>5.7</v>
      </c>
      <c r="R248">
        <v>7.1349999999999998</v>
      </c>
      <c r="S248">
        <v>9.57</v>
      </c>
      <c r="T248">
        <v>2.0499999999999998</v>
      </c>
      <c r="U248">
        <v>5.7</v>
      </c>
      <c r="V248">
        <v>21.7</v>
      </c>
      <c r="W248">
        <v>21.4</v>
      </c>
      <c r="X248">
        <v>0.7</v>
      </c>
      <c r="Y248">
        <v>77</v>
      </c>
      <c r="Z248">
        <v>0.9</v>
      </c>
      <c r="AB248">
        <v>4.3</v>
      </c>
      <c r="AC248">
        <v>168</v>
      </c>
      <c r="AD248">
        <v>0.96</v>
      </c>
      <c r="AE248">
        <v>114</v>
      </c>
      <c r="AF248" t="s">
        <v>756</v>
      </c>
      <c r="AG248">
        <v>8.1999999999999993</v>
      </c>
      <c r="AI248">
        <v>2.8</v>
      </c>
      <c r="AJ248">
        <v>3.48</v>
      </c>
      <c r="AK248">
        <v>-5</v>
      </c>
      <c r="AL248">
        <v>18.899999999999999</v>
      </c>
      <c r="AM248">
        <v>100.4</v>
      </c>
      <c r="AN248">
        <v>29.9</v>
      </c>
      <c r="AO248">
        <v>34.200000000000003</v>
      </c>
      <c r="AP248">
        <v>12.5</v>
      </c>
      <c r="AQ248">
        <v>-5.4</v>
      </c>
      <c r="AR248">
        <v>0.83</v>
      </c>
      <c r="AS248">
        <v>24.1</v>
      </c>
      <c r="AT248">
        <v>54.9</v>
      </c>
      <c r="AU248">
        <v>59</v>
      </c>
      <c r="AV248">
        <v>28</v>
      </c>
      <c r="AW248">
        <v>7304</v>
      </c>
      <c r="AX248" t="s">
        <v>989</v>
      </c>
      <c r="AY248" t="s">
        <v>990</v>
      </c>
      <c r="AZ248">
        <v>339.8</v>
      </c>
      <c r="BA248">
        <v>73.3</v>
      </c>
      <c r="BB248">
        <v>-5.4</v>
      </c>
      <c r="BC248">
        <v>-5</v>
      </c>
      <c r="BD248">
        <v>-6.7</v>
      </c>
      <c r="BE248">
        <v>-5.7</v>
      </c>
    </row>
    <row r="249" spans="1:57" x14ac:dyDescent="0.25">
      <c r="A249" t="s">
        <v>959</v>
      </c>
      <c r="B249">
        <v>120</v>
      </c>
      <c r="C249" t="s">
        <v>202</v>
      </c>
      <c r="D249">
        <v>2</v>
      </c>
      <c r="E249" t="s">
        <v>142</v>
      </c>
      <c r="F249" t="s">
        <v>383</v>
      </c>
      <c r="G249">
        <v>1180.8</v>
      </c>
      <c r="H249">
        <v>1</v>
      </c>
      <c r="I249">
        <v>1</v>
      </c>
      <c r="J249">
        <v>0</v>
      </c>
      <c r="K249" t="s">
        <v>226</v>
      </c>
      <c r="L249" t="s">
        <v>865</v>
      </c>
      <c r="M249" t="s">
        <v>865</v>
      </c>
      <c r="O249">
        <v>1</v>
      </c>
      <c r="P249" t="s">
        <v>203</v>
      </c>
      <c r="Q249">
        <v>5.3</v>
      </c>
      <c r="R249">
        <v>7.1509999999999998</v>
      </c>
      <c r="S249">
        <v>8.09</v>
      </c>
      <c r="T249">
        <v>2.2999999999999998</v>
      </c>
      <c r="U249">
        <v>5.3</v>
      </c>
      <c r="V249">
        <v>29.1</v>
      </c>
      <c r="W249">
        <v>28.5</v>
      </c>
      <c r="X249">
        <v>1.1000000000000001</v>
      </c>
      <c r="Y249">
        <v>69.5</v>
      </c>
      <c r="Z249">
        <v>0.9</v>
      </c>
      <c r="AB249">
        <v>3.6</v>
      </c>
      <c r="AC249">
        <v>168</v>
      </c>
      <c r="AD249">
        <v>0.97</v>
      </c>
      <c r="AE249">
        <v>116</v>
      </c>
      <c r="AF249" t="s">
        <v>960</v>
      </c>
      <c r="AG249">
        <v>7.8</v>
      </c>
      <c r="AI249">
        <v>3.5</v>
      </c>
      <c r="AJ249">
        <v>3.32</v>
      </c>
      <c r="AK249">
        <v>-7.7</v>
      </c>
      <c r="AL249">
        <v>17.399999999999999</v>
      </c>
      <c r="AM249">
        <v>100.4</v>
      </c>
      <c r="AN249">
        <v>30.7</v>
      </c>
      <c r="AO249">
        <v>34.4</v>
      </c>
      <c r="AP249">
        <v>11.7</v>
      </c>
      <c r="AQ249">
        <v>-7.6</v>
      </c>
      <c r="AR249">
        <v>0.85</v>
      </c>
      <c r="AS249">
        <v>21.2</v>
      </c>
      <c r="AT249">
        <v>48.1</v>
      </c>
      <c r="AU249">
        <v>51.6</v>
      </c>
      <c r="AV249">
        <v>26.4</v>
      </c>
      <c r="AW249">
        <v>7270</v>
      </c>
      <c r="AX249" t="s">
        <v>961</v>
      </c>
      <c r="AY249" t="s">
        <v>962</v>
      </c>
      <c r="AZ249">
        <v>341.2</v>
      </c>
      <c r="BA249">
        <v>70.599999999999994</v>
      </c>
      <c r="BB249">
        <v>-7.6</v>
      </c>
      <c r="BC249">
        <v>-7.7</v>
      </c>
      <c r="BD249">
        <v>-8.6999999999999993</v>
      </c>
      <c r="BE249">
        <v>-8.3000000000000007</v>
      </c>
    </row>
    <row r="250" spans="1:57" x14ac:dyDescent="0.25">
      <c r="A250" t="s">
        <v>724</v>
      </c>
      <c r="B250">
        <v>137</v>
      </c>
      <c r="C250" t="s">
        <v>175</v>
      </c>
      <c r="D250">
        <v>2</v>
      </c>
      <c r="E250" t="s">
        <v>71</v>
      </c>
      <c r="F250" t="s">
        <v>382</v>
      </c>
      <c r="G250">
        <v>1275</v>
      </c>
      <c r="H250">
        <v>0</v>
      </c>
      <c r="I250">
        <v>0</v>
      </c>
      <c r="J250">
        <v>0</v>
      </c>
      <c r="K250" t="s">
        <v>212</v>
      </c>
      <c r="L250" t="s">
        <v>865</v>
      </c>
      <c r="M250" t="s">
        <v>865</v>
      </c>
      <c r="P250" t="s">
        <v>219</v>
      </c>
      <c r="Q250">
        <v>5.5</v>
      </c>
      <c r="R250">
        <v>7.4950000000000001</v>
      </c>
      <c r="S250">
        <v>4.8499999999999996</v>
      </c>
      <c r="T250">
        <v>7.09</v>
      </c>
      <c r="U250">
        <v>5.5</v>
      </c>
      <c r="V250">
        <v>96.5</v>
      </c>
      <c r="W250">
        <v>94.6</v>
      </c>
      <c r="X250">
        <v>1.8</v>
      </c>
      <c r="Y250">
        <v>3.4</v>
      </c>
      <c r="Z250">
        <v>0.2</v>
      </c>
      <c r="AB250">
        <v>4.3</v>
      </c>
      <c r="AC250">
        <v>148</v>
      </c>
      <c r="AD250">
        <v>1.08</v>
      </c>
      <c r="AE250">
        <v>110</v>
      </c>
      <c r="AF250" t="s">
        <v>862</v>
      </c>
      <c r="AG250">
        <v>1.4</v>
      </c>
      <c r="AI250">
        <v>11.8</v>
      </c>
      <c r="AJ250">
        <v>1.88</v>
      </c>
      <c r="AK250">
        <v>4.8</v>
      </c>
      <c r="AL250">
        <v>28.5</v>
      </c>
      <c r="AM250">
        <v>100.4</v>
      </c>
      <c r="AN250">
        <v>10.3</v>
      </c>
      <c r="AO250">
        <v>14.7</v>
      </c>
      <c r="AP250">
        <v>12.1</v>
      </c>
      <c r="AQ250">
        <v>4.5999999999999996</v>
      </c>
      <c r="AR250">
        <v>1.1399999999999999</v>
      </c>
      <c r="AS250">
        <v>28.1</v>
      </c>
      <c r="AT250">
        <v>58.9</v>
      </c>
      <c r="AU250">
        <v>65.400000000000006</v>
      </c>
      <c r="AV250">
        <v>27.1</v>
      </c>
      <c r="AW250">
        <v>7465</v>
      </c>
      <c r="AX250" t="s">
        <v>872</v>
      </c>
      <c r="AY250" t="s">
        <v>933</v>
      </c>
      <c r="AZ250">
        <v>301.3</v>
      </c>
      <c r="BA250">
        <v>32</v>
      </c>
      <c r="BB250">
        <v>4.5999999999999996</v>
      </c>
      <c r="BC250">
        <v>4.8</v>
      </c>
      <c r="BD250">
        <v>4.5</v>
      </c>
      <c r="BE250">
        <v>4.8</v>
      </c>
    </row>
    <row r="251" spans="1:57" x14ac:dyDescent="0.25">
      <c r="A251" t="s">
        <v>851</v>
      </c>
      <c r="B251">
        <v>130</v>
      </c>
      <c r="C251" t="s">
        <v>145</v>
      </c>
      <c r="D251">
        <v>2</v>
      </c>
      <c r="E251" t="s">
        <v>146</v>
      </c>
      <c r="F251" t="s">
        <v>383</v>
      </c>
      <c r="G251">
        <v>902</v>
      </c>
      <c r="H251">
        <v>0</v>
      </c>
      <c r="I251">
        <v>1</v>
      </c>
      <c r="J251">
        <v>0</v>
      </c>
      <c r="K251" t="s">
        <v>234</v>
      </c>
      <c r="L251" t="s">
        <v>865</v>
      </c>
      <c r="M251" t="s">
        <v>865</v>
      </c>
      <c r="P251" t="s">
        <v>200</v>
      </c>
      <c r="Q251">
        <v>6.1</v>
      </c>
      <c r="R251">
        <v>7.4569999999999999</v>
      </c>
      <c r="S251">
        <v>5.39</v>
      </c>
      <c r="T251">
        <v>6.06</v>
      </c>
      <c r="U251">
        <v>6.1</v>
      </c>
      <c r="V251">
        <v>90.7</v>
      </c>
      <c r="W251">
        <v>89.5</v>
      </c>
      <c r="X251">
        <v>1.2</v>
      </c>
      <c r="Y251">
        <v>9.1999999999999993</v>
      </c>
      <c r="Z251">
        <v>0.1</v>
      </c>
      <c r="AB251">
        <v>4</v>
      </c>
      <c r="AC251">
        <v>177</v>
      </c>
      <c r="AD251">
        <v>0.59</v>
      </c>
      <c r="AE251">
        <v>124</v>
      </c>
      <c r="AF251" t="s">
        <v>999</v>
      </c>
      <c r="AG251">
        <v>0.8</v>
      </c>
      <c r="AI251">
        <v>12.3</v>
      </c>
      <c r="AJ251">
        <v>2.5499999999999998</v>
      </c>
      <c r="AK251">
        <v>4.5999999999999996</v>
      </c>
      <c r="AL251">
        <v>28.1</v>
      </c>
      <c r="AM251">
        <v>100.4</v>
      </c>
      <c r="AN251">
        <v>24.5</v>
      </c>
      <c r="AO251">
        <v>28.5</v>
      </c>
      <c r="AP251">
        <v>13.4</v>
      </c>
      <c r="AQ251">
        <v>4.3</v>
      </c>
      <c r="AR251">
        <v>0.61</v>
      </c>
      <c r="AS251">
        <v>28.5</v>
      </c>
      <c r="AT251">
        <v>59.6</v>
      </c>
      <c r="AU251">
        <v>66.599999999999994</v>
      </c>
      <c r="AV251">
        <v>30</v>
      </c>
      <c r="AW251">
        <v>7460</v>
      </c>
      <c r="AX251" t="s">
        <v>1000</v>
      </c>
      <c r="AY251" t="s">
        <v>1001</v>
      </c>
      <c r="AZ251">
        <v>358.7</v>
      </c>
      <c r="BA251">
        <v>34.9</v>
      </c>
      <c r="BB251">
        <v>4.3</v>
      </c>
      <c r="BC251">
        <v>4.5999999999999996</v>
      </c>
      <c r="BD251">
        <v>4.0999999999999996</v>
      </c>
      <c r="BE251">
        <v>4.5</v>
      </c>
    </row>
    <row r="252" spans="1:57" x14ac:dyDescent="0.25">
      <c r="A252" t="s">
        <v>643</v>
      </c>
      <c r="B252">
        <v>150</v>
      </c>
      <c r="C252" t="s">
        <v>36</v>
      </c>
      <c r="D252">
        <v>3</v>
      </c>
      <c r="E252" t="s">
        <v>40</v>
      </c>
      <c r="F252" t="s">
        <v>382</v>
      </c>
      <c r="G252">
        <v>725</v>
      </c>
      <c r="H252">
        <v>0</v>
      </c>
      <c r="I252">
        <v>1</v>
      </c>
      <c r="J252">
        <v>1</v>
      </c>
      <c r="K252" t="s">
        <v>465</v>
      </c>
      <c r="L252" t="s">
        <v>865</v>
      </c>
      <c r="M252" t="s">
        <v>865</v>
      </c>
      <c r="O252">
        <v>1</v>
      </c>
      <c r="P252" t="s">
        <v>197</v>
      </c>
      <c r="Q252">
        <v>4.4000000000000004</v>
      </c>
      <c r="R252">
        <v>7.165</v>
      </c>
      <c r="S252">
        <v>8.64</v>
      </c>
      <c r="T252">
        <v>6.24</v>
      </c>
      <c r="U252">
        <v>4.4000000000000004</v>
      </c>
      <c r="V252">
        <v>91.7</v>
      </c>
      <c r="W252">
        <v>87.8</v>
      </c>
      <c r="X252">
        <v>3.3</v>
      </c>
      <c r="Y252">
        <v>7.9</v>
      </c>
      <c r="Z252">
        <v>1</v>
      </c>
      <c r="AB252">
        <v>4.3</v>
      </c>
      <c r="AC252">
        <v>135</v>
      </c>
      <c r="AD252">
        <v>1.52</v>
      </c>
      <c r="AE252">
        <v>102</v>
      </c>
      <c r="AF252" t="s">
        <v>923</v>
      </c>
      <c r="AG252">
        <v>3</v>
      </c>
      <c r="AI252">
        <v>8.8000000000000007</v>
      </c>
      <c r="AJ252">
        <v>2.48</v>
      </c>
      <c r="AK252">
        <v>-5.2</v>
      </c>
      <c r="AL252">
        <v>20.100000000000001</v>
      </c>
      <c r="AM252">
        <v>100.6</v>
      </c>
      <c r="AN252">
        <v>10.1</v>
      </c>
      <c r="AO252">
        <v>14.5</v>
      </c>
      <c r="AP252">
        <v>9.4</v>
      </c>
      <c r="AQ252">
        <v>-5.0999999999999996</v>
      </c>
      <c r="AR252">
        <v>1.33</v>
      </c>
      <c r="AS252">
        <v>23.4</v>
      </c>
      <c r="AT252">
        <v>53.1</v>
      </c>
      <c r="AU252">
        <v>56.8</v>
      </c>
      <c r="AV252">
        <v>21.6</v>
      </c>
      <c r="AW252">
        <v>7312</v>
      </c>
      <c r="AX252" t="s">
        <v>924</v>
      </c>
      <c r="AY252" t="s">
        <v>616</v>
      </c>
      <c r="BA252">
        <v>68.400000000000006</v>
      </c>
      <c r="BB252">
        <v>-5.0999999999999996</v>
      </c>
      <c r="BC252">
        <v>-5.2</v>
      </c>
      <c r="BD252">
        <v>-5.2</v>
      </c>
      <c r="BE252">
        <v>-5.3</v>
      </c>
    </row>
    <row r="253" spans="1:57" x14ac:dyDescent="0.25">
      <c r="A253" t="s">
        <v>751</v>
      </c>
      <c r="B253">
        <v>149</v>
      </c>
      <c r="C253" t="s">
        <v>586</v>
      </c>
      <c r="D253">
        <v>3</v>
      </c>
      <c r="E253" t="s">
        <v>142</v>
      </c>
      <c r="F253" t="s">
        <v>383</v>
      </c>
      <c r="G253">
        <v>847</v>
      </c>
      <c r="H253">
        <v>1</v>
      </c>
      <c r="I253">
        <v>1</v>
      </c>
      <c r="J253">
        <v>0</v>
      </c>
      <c r="K253" t="s">
        <v>456</v>
      </c>
      <c r="L253" t="s">
        <v>865</v>
      </c>
      <c r="M253" t="s">
        <v>865</v>
      </c>
      <c r="O253">
        <v>1</v>
      </c>
      <c r="P253" t="s">
        <v>457</v>
      </c>
      <c r="Q253">
        <v>4.8</v>
      </c>
      <c r="R253">
        <v>7.194</v>
      </c>
      <c r="S253">
        <v>8.36</v>
      </c>
      <c r="T253">
        <v>2.56</v>
      </c>
      <c r="U253">
        <v>4.8</v>
      </c>
      <c r="V253">
        <v>36</v>
      </c>
      <c r="W253">
        <v>35</v>
      </c>
      <c r="X253">
        <v>1.4</v>
      </c>
      <c r="Y253">
        <v>62.3</v>
      </c>
      <c r="Z253">
        <v>1.3</v>
      </c>
      <c r="AB253">
        <v>4.0999999999999996</v>
      </c>
      <c r="AC253">
        <v>148</v>
      </c>
      <c r="AD253">
        <v>1.26</v>
      </c>
      <c r="AE253">
        <v>107</v>
      </c>
      <c r="AF253" t="s">
        <v>966</v>
      </c>
      <c r="AG253">
        <v>8.1999999999999993</v>
      </c>
      <c r="AI253">
        <v>3.9</v>
      </c>
      <c r="AJ253">
        <v>3.23</v>
      </c>
      <c r="AK253">
        <v>-4</v>
      </c>
      <c r="AL253">
        <v>20.3</v>
      </c>
      <c r="AM253">
        <v>100.5</v>
      </c>
      <c r="AN253">
        <v>17.100000000000001</v>
      </c>
      <c r="AO253">
        <v>21.2</v>
      </c>
      <c r="AP253">
        <v>10.5</v>
      </c>
      <c r="AQ253">
        <v>-4</v>
      </c>
      <c r="AR253">
        <v>1.1200000000000001</v>
      </c>
      <c r="AS253">
        <v>24.1</v>
      </c>
      <c r="AT253">
        <v>54.6</v>
      </c>
      <c r="AU253">
        <v>58.4</v>
      </c>
      <c r="AV253">
        <v>23.9</v>
      </c>
      <c r="AW253">
        <v>7330</v>
      </c>
      <c r="AX253" t="s">
        <v>967</v>
      </c>
      <c r="AY253" t="s">
        <v>683</v>
      </c>
      <c r="AZ253">
        <v>299.3</v>
      </c>
      <c r="BA253">
        <v>64</v>
      </c>
      <c r="BB253">
        <v>-4</v>
      </c>
      <c r="BC253">
        <v>-4</v>
      </c>
      <c r="BD253">
        <v>-5</v>
      </c>
      <c r="BE253">
        <v>-4.5999999999999996</v>
      </c>
    </row>
    <row r="254" spans="1:57" x14ac:dyDescent="0.25">
      <c r="A254" t="s">
        <v>731</v>
      </c>
      <c r="B254">
        <v>153</v>
      </c>
      <c r="C254" t="s">
        <v>584</v>
      </c>
      <c r="D254">
        <v>3</v>
      </c>
      <c r="E254" t="s">
        <v>142</v>
      </c>
      <c r="F254" t="s">
        <v>383</v>
      </c>
      <c r="G254">
        <v>777</v>
      </c>
      <c r="H254">
        <v>1</v>
      </c>
      <c r="I254">
        <v>1</v>
      </c>
      <c r="J254">
        <v>0</v>
      </c>
      <c r="K254" t="s">
        <v>479</v>
      </c>
      <c r="L254" t="s">
        <v>865</v>
      </c>
      <c r="M254" t="s">
        <v>865</v>
      </c>
      <c r="P254" t="s">
        <v>480</v>
      </c>
      <c r="Q254">
        <v>3.6</v>
      </c>
      <c r="R254">
        <v>7.319</v>
      </c>
      <c r="S254">
        <v>7.86</v>
      </c>
      <c r="T254">
        <v>32.5</v>
      </c>
      <c r="U254">
        <v>3.6</v>
      </c>
      <c r="V254">
        <v>105.9</v>
      </c>
      <c r="W254">
        <v>101.7</v>
      </c>
      <c r="X254">
        <v>3.1</v>
      </c>
      <c r="Y254">
        <v>-5.7</v>
      </c>
      <c r="Z254">
        <v>0.9</v>
      </c>
      <c r="AB254">
        <v>4.2</v>
      </c>
      <c r="AC254">
        <v>146</v>
      </c>
      <c r="AD254">
        <v>1.3</v>
      </c>
      <c r="AE254">
        <v>104</v>
      </c>
      <c r="AF254" t="s">
        <v>956</v>
      </c>
      <c r="AG254">
        <v>0.8</v>
      </c>
      <c r="AK254">
        <v>4.2</v>
      </c>
      <c r="AM254">
        <v>100.6</v>
      </c>
      <c r="AN254">
        <v>12</v>
      </c>
      <c r="AO254">
        <v>16.2</v>
      </c>
      <c r="AP254">
        <v>7.7</v>
      </c>
      <c r="AQ254">
        <v>3.9</v>
      </c>
      <c r="AR254">
        <v>1.24</v>
      </c>
      <c r="AS254">
        <v>30.3</v>
      </c>
      <c r="AU254">
        <v>71.900000000000006</v>
      </c>
      <c r="AV254">
        <v>17.7</v>
      </c>
      <c r="AW254">
        <v>7451</v>
      </c>
      <c r="AX254" t="s">
        <v>957</v>
      </c>
      <c r="AY254" t="s">
        <v>958</v>
      </c>
      <c r="AZ254">
        <v>296</v>
      </c>
      <c r="BA254">
        <v>47.9</v>
      </c>
      <c r="BB254">
        <v>3.9</v>
      </c>
      <c r="BC254">
        <v>4.2</v>
      </c>
    </row>
    <row r="255" spans="1:57" x14ac:dyDescent="0.25">
      <c r="A255" t="s">
        <v>639</v>
      </c>
      <c r="B255">
        <v>145</v>
      </c>
      <c r="C255" t="s">
        <v>45</v>
      </c>
      <c r="D255">
        <v>3</v>
      </c>
      <c r="E255" t="s">
        <v>40</v>
      </c>
      <c r="F255" t="s">
        <v>383</v>
      </c>
      <c r="G255">
        <v>949.7</v>
      </c>
      <c r="H255">
        <v>0</v>
      </c>
      <c r="I255">
        <v>1</v>
      </c>
      <c r="J255">
        <v>1</v>
      </c>
      <c r="K255" t="s">
        <v>478</v>
      </c>
      <c r="L255" t="s">
        <v>865</v>
      </c>
      <c r="M255" t="s">
        <v>865</v>
      </c>
      <c r="O255">
        <v>1</v>
      </c>
      <c r="P255" t="s">
        <v>207</v>
      </c>
      <c r="Q255">
        <v>4.4000000000000004</v>
      </c>
      <c r="R255">
        <v>7.1660000000000004</v>
      </c>
      <c r="S255">
        <v>10.6</v>
      </c>
      <c r="T255">
        <v>7.39</v>
      </c>
      <c r="U255">
        <v>4.4000000000000004</v>
      </c>
      <c r="V255">
        <v>86</v>
      </c>
      <c r="W255">
        <v>82.7</v>
      </c>
      <c r="X255">
        <v>2.9</v>
      </c>
      <c r="Y255">
        <v>13.5</v>
      </c>
      <c r="Z255">
        <v>0.9</v>
      </c>
      <c r="AB255">
        <v>3.7</v>
      </c>
      <c r="AC255">
        <v>147</v>
      </c>
      <c r="AD255">
        <v>1.1399999999999999</v>
      </c>
      <c r="AE255">
        <v>107</v>
      </c>
      <c r="AF255" t="s">
        <v>888</v>
      </c>
      <c r="AG255">
        <v>2.8</v>
      </c>
      <c r="AI255">
        <v>8.3000000000000007</v>
      </c>
      <c r="AJ255">
        <v>3.85</v>
      </c>
      <c r="AK255">
        <v>0.1</v>
      </c>
      <c r="AL255">
        <v>24.1</v>
      </c>
      <c r="AM255">
        <v>100.6</v>
      </c>
      <c r="AN255">
        <v>11.2</v>
      </c>
      <c r="AO255">
        <v>14.9</v>
      </c>
      <c r="AP255">
        <v>9.4</v>
      </c>
      <c r="AQ255">
        <v>-0.3</v>
      </c>
      <c r="AR255">
        <v>1</v>
      </c>
      <c r="AS255">
        <v>28.7</v>
      </c>
      <c r="AT255">
        <v>65.2</v>
      </c>
      <c r="AU255">
        <v>69.7</v>
      </c>
      <c r="AV255">
        <v>21.6</v>
      </c>
      <c r="AW255">
        <v>7384</v>
      </c>
      <c r="AX255" t="s">
        <v>889</v>
      </c>
      <c r="AY255" t="s">
        <v>890</v>
      </c>
      <c r="AZ255">
        <v>326.2</v>
      </c>
      <c r="BA255">
        <v>68.3</v>
      </c>
      <c r="BB255">
        <v>-0.3</v>
      </c>
      <c r="BC255">
        <v>0.1</v>
      </c>
      <c r="BD255">
        <v>-0.5</v>
      </c>
      <c r="BE255">
        <v>-0.1</v>
      </c>
    </row>
    <row r="256" spans="1:57" x14ac:dyDescent="0.25">
      <c r="A256" t="s">
        <v>707</v>
      </c>
      <c r="B256">
        <v>164</v>
      </c>
      <c r="C256" t="s">
        <v>51</v>
      </c>
      <c r="D256">
        <v>3</v>
      </c>
      <c r="E256" t="s">
        <v>71</v>
      </c>
      <c r="F256" t="s">
        <v>382</v>
      </c>
      <c r="G256">
        <v>993</v>
      </c>
      <c r="H256">
        <v>0</v>
      </c>
      <c r="I256">
        <v>0</v>
      </c>
      <c r="J256">
        <v>0</v>
      </c>
      <c r="K256" t="s">
        <v>468</v>
      </c>
      <c r="L256" t="s">
        <v>865</v>
      </c>
      <c r="M256" t="s">
        <v>865</v>
      </c>
      <c r="P256" t="s">
        <v>111</v>
      </c>
      <c r="Q256">
        <v>4.8</v>
      </c>
      <c r="R256">
        <v>7.4950000000000001</v>
      </c>
      <c r="S256">
        <v>5.04</v>
      </c>
      <c r="T256">
        <v>31.3</v>
      </c>
      <c r="U256">
        <v>4.8</v>
      </c>
      <c r="V256">
        <v>106.1</v>
      </c>
      <c r="W256">
        <v>102.2</v>
      </c>
      <c r="X256">
        <v>3.1</v>
      </c>
      <c r="Y256">
        <v>-5.9</v>
      </c>
      <c r="Z256">
        <v>0.6</v>
      </c>
      <c r="AB256">
        <v>4.5999999999999996</v>
      </c>
      <c r="AC256">
        <v>143</v>
      </c>
      <c r="AD256">
        <v>1.1599999999999999</v>
      </c>
      <c r="AE256">
        <v>102</v>
      </c>
      <c r="AF256" t="s">
        <v>852</v>
      </c>
      <c r="AG256">
        <v>1.1000000000000001</v>
      </c>
      <c r="AK256">
        <v>5.8</v>
      </c>
      <c r="AM256">
        <v>100.6</v>
      </c>
      <c r="AN256">
        <v>11.7</v>
      </c>
      <c r="AO256">
        <v>16.3</v>
      </c>
      <c r="AP256">
        <v>10.4</v>
      </c>
      <c r="AQ256">
        <v>5.4</v>
      </c>
      <c r="AR256">
        <v>1.23</v>
      </c>
      <c r="AS256">
        <v>29.1</v>
      </c>
      <c r="AU256">
        <v>67.8</v>
      </c>
      <c r="AV256">
        <v>23.8</v>
      </c>
      <c r="AW256">
        <v>7476</v>
      </c>
      <c r="AX256" t="s">
        <v>943</v>
      </c>
      <c r="AY256" t="s">
        <v>944</v>
      </c>
      <c r="AZ256">
        <v>294.10000000000002</v>
      </c>
      <c r="BA256">
        <v>32</v>
      </c>
      <c r="BB256">
        <v>5.4</v>
      </c>
      <c r="BC256">
        <v>5.8</v>
      </c>
    </row>
    <row r="257" spans="1:57" x14ac:dyDescent="0.25">
      <c r="A257" t="s">
        <v>670</v>
      </c>
      <c r="B257">
        <v>148</v>
      </c>
      <c r="C257" t="s">
        <v>585</v>
      </c>
      <c r="D257">
        <v>3</v>
      </c>
      <c r="E257" t="s">
        <v>40</v>
      </c>
      <c r="F257" t="s">
        <v>383</v>
      </c>
      <c r="G257">
        <v>1159</v>
      </c>
      <c r="H257">
        <v>0</v>
      </c>
      <c r="I257">
        <v>1</v>
      </c>
      <c r="J257">
        <v>1</v>
      </c>
      <c r="K257" t="s">
        <v>458</v>
      </c>
      <c r="L257" t="s">
        <v>865</v>
      </c>
      <c r="M257" t="s">
        <v>865</v>
      </c>
      <c r="O257">
        <v>1</v>
      </c>
      <c r="P257" t="s">
        <v>459</v>
      </c>
      <c r="Q257">
        <v>4.8</v>
      </c>
      <c r="R257">
        <v>7.2249999999999996</v>
      </c>
      <c r="S257">
        <v>6.22</v>
      </c>
      <c r="T257">
        <v>2.86</v>
      </c>
      <c r="U257">
        <v>4.8</v>
      </c>
      <c r="V257">
        <v>49.9</v>
      </c>
      <c r="W257">
        <v>48.4</v>
      </c>
      <c r="X257">
        <v>1.9</v>
      </c>
      <c r="Y257">
        <v>48.5</v>
      </c>
      <c r="Z257">
        <v>1.2</v>
      </c>
      <c r="AB257">
        <v>3.4</v>
      </c>
      <c r="AC257">
        <v>149</v>
      </c>
      <c r="AD257">
        <v>1.29</v>
      </c>
      <c r="AE257">
        <v>110</v>
      </c>
      <c r="AF257" t="s">
        <v>437</v>
      </c>
      <c r="AG257">
        <v>11.1</v>
      </c>
      <c r="AI257">
        <v>5.3</v>
      </c>
      <c r="AJ257">
        <v>2.86</v>
      </c>
      <c r="AK257">
        <v>-8.3000000000000007</v>
      </c>
      <c r="AL257">
        <v>17.5</v>
      </c>
      <c r="AM257">
        <v>100.5</v>
      </c>
      <c r="AN257">
        <v>19.3</v>
      </c>
      <c r="AO257">
        <v>22.7</v>
      </c>
      <c r="AP257">
        <v>10.4</v>
      </c>
      <c r="AQ257">
        <v>-7.8</v>
      </c>
      <c r="AR257">
        <v>1.18</v>
      </c>
      <c r="AS257">
        <v>19.3</v>
      </c>
      <c r="AT257">
        <v>43.3</v>
      </c>
      <c r="AU257">
        <v>46.5</v>
      </c>
      <c r="AV257">
        <v>23.7</v>
      </c>
      <c r="AW257">
        <v>7270</v>
      </c>
      <c r="AX257" t="s">
        <v>897</v>
      </c>
      <c r="AY257" t="s">
        <v>898</v>
      </c>
      <c r="BA257">
        <v>59.5</v>
      </c>
      <c r="BB257">
        <v>-7.8</v>
      </c>
      <c r="BC257">
        <v>-8.3000000000000007</v>
      </c>
      <c r="BD257">
        <v>-8.5</v>
      </c>
      <c r="BE257">
        <v>-8.8000000000000007</v>
      </c>
    </row>
    <row r="258" spans="1:57" x14ac:dyDescent="0.25">
      <c r="A258" t="s">
        <v>666</v>
      </c>
      <c r="B258">
        <v>146</v>
      </c>
      <c r="C258" t="s">
        <v>53</v>
      </c>
      <c r="D258">
        <v>3</v>
      </c>
      <c r="E258" t="s">
        <v>40</v>
      </c>
      <c r="F258" t="s">
        <v>382</v>
      </c>
      <c r="G258">
        <v>1104</v>
      </c>
      <c r="H258">
        <v>0</v>
      </c>
      <c r="I258">
        <v>1</v>
      </c>
      <c r="J258">
        <v>1</v>
      </c>
      <c r="K258" t="s">
        <v>454</v>
      </c>
      <c r="L258" t="s">
        <v>865</v>
      </c>
      <c r="M258" t="s">
        <v>865</v>
      </c>
      <c r="N258">
        <v>1</v>
      </c>
      <c r="P258" t="s">
        <v>455</v>
      </c>
      <c r="Q258">
        <v>4.5</v>
      </c>
      <c r="R258">
        <v>7.1059999999999999</v>
      </c>
      <c r="S258">
        <v>6.74</v>
      </c>
      <c r="T258">
        <v>2.39</v>
      </c>
      <c r="U258">
        <v>4.5</v>
      </c>
      <c r="V258">
        <v>30.2</v>
      </c>
      <c r="W258">
        <v>29.5</v>
      </c>
      <c r="X258">
        <v>1.2</v>
      </c>
      <c r="Y258">
        <v>68.2</v>
      </c>
      <c r="Z258">
        <v>1.1000000000000001</v>
      </c>
      <c r="AB258">
        <v>3.4</v>
      </c>
      <c r="AC258">
        <v>157</v>
      </c>
      <c r="AD258">
        <v>1.23</v>
      </c>
      <c r="AE258">
        <v>115</v>
      </c>
      <c r="AF258" t="s">
        <v>437</v>
      </c>
      <c r="AG258">
        <v>13.7</v>
      </c>
      <c r="AI258">
        <v>3</v>
      </c>
      <c r="AJ258">
        <v>3.36</v>
      </c>
      <c r="AK258">
        <v>-13.6</v>
      </c>
      <c r="AL258">
        <v>13.6</v>
      </c>
      <c r="AM258">
        <v>100.5</v>
      </c>
      <c r="AN258">
        <v>26.4</v>
      </c>
      <c r="AO258">
        <v>29.8</v>
      </c>
      <c r="AP258">
        <v>9.8000000000000007</v>
      </c>
      <c r="AQ258">
        <v>-12.7</v>
      </c>
      <c r="AR258">
        <v>1.04</v>
      </c>
      <c r="AS258">
        <v>15.9</v>
      </c>
      <c r="AT258">
        <v>37</v>
      </c>
      <c r="AU258">
        <v>39.1</v>
      </c>
      <c r="AV258">
        <v>22</v>
      </c>
      <c r="AW258">
        <v>7171</v>
      </c>
      <c r="AX258" t="s">
        <v>901</v>
      </c>
      <c r="AY258" t="s">
        <v>902</v>
      </c>
      <c r="BA258">
        <v>78.3</v>
      </c>
      <c r="BB258">
        <v>-12.7</v>
      </c>
      <c r="BC258">
        <v>-13.6</v>
      </c>
      <c r="BD258">
        <v>-13.7</v>
      </c>
      <c r="BE258">
        <v>-14.3</v>
      </c>
    </row>
    <row r="259" spans="1:57" x14ac:dyDescent="0.25">
      <c r="A259" t="s">
        <v>767</v>
      </c>
      <c r="B259">
        <v>152</v>
      </c>
      <c r="C259" t="s">
        <v>56</v>
      </c>
      <c r="D259">
        <v>3</v>
      </c>
      <c r="E259" t="s">
        <v>142</v>
      </c>
      <c r="F259" t="s">
        <v>382</v>
      </c>
      <c r="G259">
        <v>996</v>
      </c>
      <c r="H259">
        <v>1</v>
      </c>
      <c r="I259">
        <v>1</v>
      </c>
      <c r="J259">
        <v>0</v>
      </c>
      <c r="K259" t="s">
        <v>466</v>
      </c>
      <c r="L259" t="s">
        <v>865</v>
      </c>
      <c r="M259" t="s">
        <v>865</v>
      </c>
      <c r="O259">
        <v>1</v>
      </c>
      <c r="P259" t="s">
        <v>113</v>
      </c>
      <c r="Q259">
        <v>4.5999999999999996</v>
      </c>
      <c r="R259">
        <v>7.2720000000000002</v>
      </c>
      <c r="S259">
        <v>9.56</v>
      </c>
      <c r="T259">
        <v>4.09</v>
      </c>
      <c r="U259">
        <v>4.5999999999999996</v>
      </c>
      <c r="V259">
        <v>66.5</v>
      </c>
      <c r="W259">
        <v>64.400000000000006</v>
      </c>
      <c r="X259">
        <v>2.4</v>
      </c>
      <c r="Y259">
        <v>32.4</v>
      </c>
      <c r="Z259">
        <v>0.8</v>
      </c>
      <c r="AB259">
        <v>3.9</v>
      </c>
      <c r="AC259">
        <v>151</v>
      </c>
      <c r="AD259">
        <v>1.37</v>
      </c>
      <c r="AE259">
        <v>106</v>
      </c>
      <c r="AF259" t="s">
        <v>954</v>
      </c>
      <c r="AG259">
        <v>0.8</v>
      </c>
      <c r="AI259">
        <v>6.7</v>
      </c>
      <c r="AJ259">
        <v>3.15</v>
      </c>
      <c r="AK259">
        <v>6.2</v>
      </c>
      <c r="AL259">
        <v>28.8</v>
      </c>
      <c r="AM259">
        <v>100.6</v>
      </c>
      <c r="AN259">
        <v>11.2</v>
      </c>
      <c r="AO259">
        <v>15.1</v>
      </c>
      <c r="AP259">
        <v>9.9</v>
      </c>
      <c r="AQ259">
        <v>5.3</v>
      </c>
      <c r="AR259">
        <v>1.27</v>
      </c>
      <c r="AS259">
        <v>33.1</v>
      </c>
      <c r="AT259">
        <v>73.599999999999994</v>
      </c>
      <c r="AU259">
        <v>79</v>
      </c>
      <c r="AV259">
        <v>22.7</v>
      </c>
      <c r="AW259">
        <v>7467</v>
      </c>
      <c r="AX259" t="s">
        <v>983</v>
      </c>
      <c r="AY259" t="s">
        <v>988</v>
      </c>
      <c r="AZ259">
        <v>303.3</v>
      </c>
      <c r="BA259">
        <v>53.4</v>
      </c>
      <c r="BB259">
        <v>5.3</v>
      </c>
      <c r="BC259">
        <v>6.2</v>
      </c>
      <c r="BD259">
        <v>4.9000000000000004</v>
      </c>
      <c r="BE259">
        <v>5.9</v>
      </c>
    </row>
    <row r="260" spans="1:57" x14ac:dyDescent="0.25">
      <c r="A260" t="s">
        <v>646</v>
      </c>
      <c r="B260">
        <v>155</v>
      </c>
      <c r="C260" t="s">
        <v>80</v>
      </c>
      <c r="D260">
        <v>3</v>
      </c>
      <c r="E260" t="s">
        <v>40</v>
      </c>
      <c r="F260" t="s">
        <v>383</v>
      </c>
      <c r="G260">
        <v>885</v>
      </c>
      <c r="H260">
        <v>0</v>
      </c>
      <c r="I260">
        <v>1</v>
      </c>
      <c r="J260">
        <v>1</v>
      </c>
      <c r="K260" t="s">
        <v>473</v>
      </c>
      <c r="L260" t="s">
        <v>865</v>
      </c>
      <c r="M260" t="s">
        <v>865</v>
      </c>
      <c r="P260" t="s">
        <v>114</v>
      </c>
      <c r="Q260">
        <v>4.2</v>
      </c>
      <c r="R260">
        <v>7.1840000000000002</v>
      </c>
      <c r="S260">
        <v>9.5299999999999994</v>
      </c>
      <c r="T260">
        <v>6.08</v>
      </c>
      <c r="U260">
        <v>4.2</v>
      </c>
      <c r="V260">
        <v>91.8</v>
      </c>
      <c r="W260">
        <v>88.1</v>
      </c>
      <c r="X260">
        <v>3.1</v>
      </c>
      <c r="Y260">
        <v>7.9</v>
      </c>
      <c r="Z260">
        <v>0.9</v>
      </c>
      <c r="AB260">
        <v>3.6</v>
      </c>
      <c r="AC260">
        <v>142</v>
      </c>
      <c r="AD260">
        <v>1.48</v>
      </c>
      <c r="AE260">
        <v>104</v>
      </c>
      <c r="AF260" t="s">
        <v>906</v>
      </c>
      <c r="AG260">
        <v>3</v>
      </c>
      <c r="AI260">
        <v>8.5</v>
      </c>
      <c r="AJ260">
        <v>2.4</v>
      </c>
      <c r="AK260">
        <v>-1.4</v>
      </c>
      <c r="AL260">
        <v>23.1</v>
      </c>
      <c r="AM260">
        <v>100.6</v>
      </c>
      <c r="AN260">
        <v>10.7</v>
      </c>
      <c r="AO260">
        <v>14.3</v>
      </c>
      <c r="AP260">
        <v>9.1</v>
      </c>
      <c r="AQ260">
        <v>-1.5</v>
      </c>
      <c r="AR260">
        <v>1.31</v>
      </c>
      <c r="AS260">
        <v>26.9</v>
      </c>
      <c r="AT260">
        <v>61.1</v>
      </c>
      <c r="AU260">
        <v>65.2</v>
      </c>
      <c r="AV260">
        <v>20.9</v>
      </c>
      <c r="AW260">
        <v>7368</v>
      </c>
      <c r="AX260" t="s">
        <v>907</v>
      </c>
      <c r="AY260" t="s">
        <v>908</v>
      </c>
      <c r="AZ260">
        <v>312.7</v>
      </c>
      <c r="BA260">
        <v>65.400000000000006</v>
      </c>
      <c r="BB260">
        <v>-1.5</v>
      </c>
      <c r="BC260">
        <v>-1.4</v>
      </c>
      <c r="BD260">
        <v>-1.6</v>
      </c>
      <c r="BE260">
        <v>-1.5</v>
      </c>
    </row>
    <row r="261" spans="1:57" x14ac:dyDescent="0.25">
      <c r="A261" t="s">
        <v>596</v>
      </c>
      <c r="B261">
        <v>161</v>
      </c>
      <c r="C261" t="s">
        <v>82</v>
      </c>
      <c r="D261">
        <v>3</v>
      </c>
      <c r="E261" t="s">
        <v>54</v>
      </c>
      <c r="F261" t="s">
        <v>382</v>
      </c>
      <c r="G261">
        <v>984</v>
      </c>
      <c r="H261">
        <v>0</v>
      </c>
      <c r="I261">
        <v>0</v>
      </c>
      <c r="J261">
        <v>1</v>
      </c>
      <c r="K261" t="s">
        <v>476</v>
      </c>
      <c r="L261" t="s">
        <v>865</v>
      </c>
      <c r="M261" t="s">
        <v>865</v>
      </c>
      <c r="P261" t="s">
        <v>115</v>
      </c>
      <c r="Q261">
        <v>5</v>
      </c>
      <c r="R261">
        <v>7.5149999999999997</v>
      </c>
      <c r="S261">
        <v>4.07</v>
      </c>
      <c r="T261">
        <v>24.6</v>
      </c>
      <c r="U261">
        <v>5</v>
      </c>
      <c r="V261">
        <v>106</v>
      </c>
      <c r="W261">
        <v>102</v>
      </c>
      <c r="X261">
        <v>3.2</v>
      </c>
      <c r="Y261">
        <v>-5.8</v>
      </c>
      <c r="Z261">
        <v>0.6</v>
      </c>
      <c r="AB261">
        <v>4</v>
      </c>
      <c r="AC261">
        <v>153</v>
      </c>
      <c r="AD261">
        <v>1.05</v>
      </c>
      <c r="AE261">
        <v>111</v>
      </c>
      <c r="AF261" t="s">
        <v>885</v>
      </c>
      <c r="AG261">
        <v>2</v>
      </c>
      <c r="AK261">
        <v>1.6</v>
      </c>
      <c r="AM261">
        <v>100.6</v>
      </c>
      <c r="AN261">
        <v>16.600000000000001</v>
      </c>
      <c r="AO261">
        <v>20.6</v>
      </c>
      <c r="AP261">
        <v>10.7</v>
      </c>
      <c r="AQ261">
        <v>1.7</v>
      </c>
      <c r="AR261">
        <v>1.1200000000000001</v>
      </c>
      <c r="AS261">
        <v>24.6</v>
      </c>
      <c r="AU261">
        <v>57.2</v>
      </c>
      <c r="AV261">
        <v>24.5</v>
      </c>
      <c r="AW261">
        <v>7427</v>
      </c>
      <c r="AX261" t="s">
        <v>886</v>
      </c>
      <c r="AY261" t="s">
        <v>887</v>
      </c>
      <c r="AZ261">
        <v>345.4</v>
      </c>
      <c r="BA261">
        <v>30.6</v>
      </c>
      <c r="BB261">
        <v>1.7</v>
      </c>
      <c r="BC261">
        <v>1.6</v>
      </c>
    </row>
    <row r="262" spans="1:57" x14ac:dyDescent="0.25">
      <c r="A262" t="s">
        <v>755</v>
      </c>
      <c r="B262">
        <v>151</v>
      </c>
      <c r="C262" t="s">
        <v>58</v>
      </c>
      <c r="D262">
        <v>3</v>
      </c>
      <c r="E262" t="s">
        <v>142</v>
      </c>
      <c r="F262" t="s">
        <v>383</v>
      </c>
      <c r="G262">
        <v>1175</v>
      </c>
      <c r="H262">
        <v>1</v>
      </c>
      <c r="I262">
        <v>1</v>
      </c>
      <c r="J262">
        <v>0</v>
      </c>
      <c r="K262" t="s">
        <v>470</v>
      </c>
      <c r="L262" t="s">
        <v>865</v>
      </c>
      <c r="M262" t="s">
        <v>865</v>
      </c>
      <c r="O262">
        <v>1</v>
      </c>
      <c r="P262" t="s">
        <v>116</v>
      </c>
      <c r="Q262">
        <v>3.2</v>
      </c>
      <c r="R262">
        <v>7.22</v>
      </c>
      <c r="S262">
        <v>9.32</v>
      </c>
      <c r="T262">
        <v>3.29</v>
      </c>
      <c r="U262">
        <v>3.2</v>
      </c>
      <c r="V262">
        <v>42.7</v>
      </c>
      <c r="W262">
        <v>41.2</v>
      </c>
      <c r="X262">
        <v>2</v>
      </c>
      <c r="Y262">
        <v>55.4</v>
      </c>
      <c r="Z262">
        <v>1.4</v>
      </c>
      <c r="AB262">
        <v>4.4000000000000004</v>
      </c>
      <c r="AC262">
        <v>168</v>
      </c>
      <c r="AD262">
        <v>0.8</v>
      </c>
      <c r="AE262">
        <v>119</v>
      </c>
      <c r="AF262" t="s">
        <v>950</v>
      </c>
      <c r="AG262">
        <v>3.8</v>
      </c>
      <c r="AI262">
        <v>3.1</v>
      </c>
      <c r="AJ262">
        <v>3.69</v>
      </c>
      <c r="AK262">
        <v>0.9</v>
      </c>
      <c r="AL262">
        <v>24.8</v>
      </c>
      <c r="AM262">
        <v>100.6</v>
      </c>
      <c r="AN262">
        <v>20</v>
      </c>
      <c r="AO262">
        <v>24.4</v>
      </c>
      <c r="AP262">
        <v>7</v>
      </c>
      <c r="AQ262">
        <v>1</v>
      </c>
      <c r="AR262">
        <v>0.72</v>
      </c>
      <c r="AS262">
        <v>28.6</v>
      </c>
      <c r="AT262">
        <v>65.8</v>
      </c>
      <c r="AU262">
        <v>68.900000000000006</v>
      </c>
      <c r="AV262">
        <v>16</v>
      </c>
      <c r="AW262">
        <v>7407</v>
      </c>
      <c r="AX262" t="s">
        <v>951</v>
      </c>
      <c r="AY262" t="s">
        <v>698</v>
      </c>
      <c r="AZ262">
        <v>338.4</v>
      </c>
      <c r="BA262">
        <v>60.3</v>
      </c>
      <c r="BB262">
        <v>1</v>
      </c>
      <c r="BC262">
        <v>0.9</v>
      </c>
      <c r="BD262">
        <v>0.4</v>
      </c>
      <c r="BE262">
        <v>0.3</v>
      </c>
    </row>
    <row r="263" spans="1:57" x14ac:dyDescent="0.25">
      <c r="A263" t="s">
        <v>796</v>
      </c>
      <c r="B263">
        <v>159</v>
      </c>
      <c r="C263" t="s">
        <v>62</v>
      </c>
      <c r="D263">
        <v>3</v>
      </c>
      <c r="E263" t="s">
        <v>146</v>
      </c>
      <c r="F263" t="s">
        <v>383</v>
      </c>
      <c r="G263">
        <v>1219</v>
      </c>
      <c r="H263">
        <v>0</v>
      </c>
      <c r="I263">
        <v>1</v>
      </c>
      <c r="J263">
        <v>0</v>
      </c>
      <c r="K263" t="s">
        <v>453</v>
      </c>
      <c r="L263" t="s">
        <v>865</v>
      </c>
      <c r="M263" t="s">
        <v>865</v>
      </c>
      <c r="P263" t="s">
        <v>118</v>
      </c>
      <c r="Q263">
        <v>3.7</v>
      </c>
      <c r="R263">
        <v>7.2480000000000002</v>
      </c>
      <c r="S263">
        <v>9.3800000000000008</v>
      </c>
      <c r="T263">
        <v>5.71</v>
      </c>
      <c r="U263">
        <v>3.7</v>
      </c>
      <c r="V263">
        <v>86</v>
      </c>
      <c r="W263">
        <v>83.6</v>
      </c>
      <c r="X263">
        <v>3</v>
      </c>
      <c r="Y263">
        <v>13.6</v>
      </c>
      <c r="Z263">
        <v>-0.2</v>
      </c>
      <c r="AB263">
        <v>4.5</v>
      </c>
      <c r="AC263">
        <v>149</v>
      </c>
      <c r="AD263">
        <v>1.36</v>
      </c>
      <c r="AE263">
        <v>107</v>
      </c>
      <c r="AF263" t="s">
        <v>1022</v>
      </c>
      <c r="AG263">
        <v>1.2</v>
      </c>
      <c r="AI263">
        <v>7.1</v>
      </c>
      <c r="AJ263">
        <v>2.88</v>
      </c>
      <c r="AK263">
        <v>3.4</v>
      </c>
      <c r="AL263">
        <v>27.1</v>
      </c>
      <c r="AM263">
        <v>100.5</v>
      </c>
      <c r="AN263">
        <v>11</v>
      </c>
      <c r="AO263">
        <v>15.5</v>
      </c>
      <c r="AP263">
        <v>8.1</v>
      </c>
      <c r="AQ263">
        <v>3.1</v>
      </c>
      <c r="AR263">
        <v>1.25</v>
      </c>
      <c r="AS263">
        <v>30.7</v>
      </c>
      <c r="AT263">
        <v>69.3</v>
      </c>
      <c r="AU263">
        <v>73.599999999999994</v>
      </c>
      <c r="AV263">
        <v>18.399999999999999</v>
      </c>
      <c r="AW263">
        <v>7437</v>
      </c>
      <c r="AX263" t="s">
        <v>1023</v>
      </c>
      <c r="AY263" t="s">
        <v>616</v>
      </c>
      <c r="AZ263">
        <v>304.3</v>
      </c>
      <c r="BA263">
        <v>56.6</v>
      </c>
      <c r="BB263">
        <v>3.1</v>
      </c>
      <c r="BC263">
        <v>3.4</v>
      </c>
      <c r="BD263">
        <v>2.9</v>
      </c>
      <c r="BE263">
        <v>3.3</v>
      </c>
    </row>
    <row r="264" spans="1:57" x14ac:dyDescent="0.25">
      <c r="A264" t="s">
        <v>801</v>
      </c>
      <c r="B264">
        <v>157</v>
      </c>
      <c r="C264" t="s">
        <v>64</v>
      </c>
      <c r="D264">
        <v>3</v>
      </c>
      <c r="E264" t="s">
        <v>146</v>
      </c>
      <c r="F264" t="s">
        <v>382</v>
      </c>
      <c r="G264">
        <v>849</v>
      </c>
      <c r="H264">
        <v>0</v>
      </c>
      <c r="I264">
        <v>1</v>
      </c>
      <c r="J264">
        <v>0</v>
      </c>
      <c r="K264" t="s">
        <v>474</v>
      </c>
      <c r="L264" t="s">
        <v>865</v>
      </c>
      <c r="M264" t="s">
        <v>865</v>
      </c>
      <c r="P264" t="s">
        <v>119</v>
      </c>
      <c r="Q264">
        <v>4.4000000000000004</v>
      </c>
      <c r="R264">
        <v>7.516</v>
      </c>
      <c r="S264">
        <v>4.0999999999999996</v>
      </c>
      <c r="T264">
        <v>39</v>
      </c>
      <c r="U264">
        <v>4.4000000000000004</v>
      </c>
      <c r="V264">
        <v>106.3</v>
      </c>
      <c r="W264">
        <v>102.2</v>
      </c>
      <c r="X264">
        <v>3.2</v>
      </c>
      <c r="Y264">
        <v>-6.1</v>
      </c>
      <c r="Z264">
        <v>0.7</v>
      </c>
      <c r="AB264">
        <v>4.4000000000000004</v>
      </c>
      <c r="AC264">
        <v>143</v>
      </c>
      <c r="AD264">
        <v>1.4</v>
      </c>
      <c r="AE264">
        <v>106</v>
      </c>
      <c r="AF264" t="s">
        <v>1002</v>
      </c>
      <c r="AG264">
        <v>1.2</v>
      </c>
      <c r="AK264">
        <v>2</v>
      </c>
      <c r="AM264">
        <v>100.6</v>
      </c>
      <c r="AN264">
        <v>12.4</v>
      </c>
      <c r="AO264">
        <v>16.8</v>
      </c>
      <c r="AP264">
        <v>9.5</v>
      </c>
      <c r="AQ264">
        <v>2</v>
      </c>
      <c r="AR264">
        <v>1.49</v>
      </c>
      <c r="AS264">
        <v>24.9</v>
      </c>
      <c r="AU264">
        <v>57.9</v>
      </c>
      <c r="AV264">
        <v>21.8</v>
      </c>
      <c r="AW264">
        <v>7431</v>
      </c>
      <c r="AX264" t="s">
        <v>1003</v>
      </c>
      <c r="AY264" t="s">
        <v>1004</v>
      </c>
      <c r="AZ264">
        <v>296.39999999999998</v>
      </c>
      <c r="BA264">
        <v>30.5</v>
      </c>
      <c r="BB264">
        <v>2</v>
      </c>
      <c r="BC264">
        <v>2</v>
      </c>
    </row>
    <row r="265" spans="1:57" x14ac:dyDescent="0.25">
      <c r="A265" t="s">
        <v>699</v>
      </c>
      <c r="C265" t="s">
        <v>66</v>
      </c>
      <c r="D265">
        <v>3</v>
      </c>
      <c r="E265" t="s">
        <v>71</v>
      </c>
      <c r="F265" t="s">
        <v>383</v>
      </c>
      <c r="G265">
        <v>1279</v>
      </c>
      <c r="H265">
        <v>0</v>
      </c>
      <c r="I265">
        <v>0</v>
      </c>
      <c r="J265">
        <v>0</v>
      </c>
      <c r="K265" t="s">
        <v>462</v>
      </c>
      <c r="L265" t="s">
        <v>865</v>
      </c>
      <c r="M265" t="s">
        <v>865</v>
      </c>
      <c r="P265" t="s">
        <v>221</v>
      </c>
      <c r="Q265">
        <v>3.7</v>
      </c>
      <c r="R265">
        <v>7.5049999999999999</v>
      </c>
      <c r="S265">
        <v>4.38</v>
      </c>
      <c r="T265">
        <v>27.5</v>
      </c>
      <c r="U265">
        <v>3.7</v>
      </c>
      <c r="V265">
        <v>105.9</v>
      </c>
      <c r="W265">
        <v>101.6</v>
      </c>
      <c r="X265">
        <v>3.1</v>
      </c>
      <c r="Y265">
        <v>-5.7</v>
      </c>
      <c r="Z265">
        <v>1</v>
      </c>
      <c r="AB265">
        <v>4.7</v>
      </c>
      <c r="AC265">
        <v>161</v>
      </c>
      <c r="AD265">
        <v>0.96</v>
      </c>
      <c r="AE265">
        <v>113</v>
      </c>
      <c r="AF265" t="s">
        <v>862</v>
      </c>
      <c r="AG265">
        <v>2.2999999999999998</v>
      </c>
      <c r="AK265">
        <v>2.8</v>
      </c>
      <c r="AM265">
        <v>100.6</v>
      </c>
      <c r="AN265">
        <v>21.7</v>
      </c>
      <c r="AO265">
        <v>26.5</v>
      </c>
      <c r="AP265">
        <v>8.1</v>
      </c>
      <c r="AQ265">
        <v>2.6</v>
      </c>
      <c r="AR265">
        <v>1.02</v>
      </c>
      <c r="AS265">
        <v>25.9</v>
      </c>
      <c r="AU265">
        <v>60.3</v>
      </c>
      <c r="AV265">
        <v>18.5</v>
      </c>
      <c r="AW265">
        <v>7439</v>
      </c>
      <c r="AX265" t="s">
        <v>931</v>
      </c>
      <c r="AY265" t="s">
        <v>932</v>
      </c>
      <c r="AZ265">
        <v>326.10000000000002</v>
      </c>
      <c r="BA265">
        <v>31.3</v>
      </c>
      <c r="BB265">
        <v>2.6</v>
      </c>
      <c r="BC265">
        <v>2.8</v>
      </c>
    </row>
    <row r="266" spans="1:57" x14ac:dyDescent="0.25">
      <c r="A266" t="s">
        <v>613</v>
      </c>
      <c r="B266">
        <v>165</v>
      </c>
      <c r="C266" t="s">
        <v>385</v>
      </c>
      <c r="D266">
        <v>3</v>
      </c>
      <c r="E266" t="s">
        <v>54</v>
      </c>
      <c r="F266" t="s">
        <v>383</v>
      </c>
      <c r="G266">
        <v>676</v>
      </c>
      <c r="H266">
        <v>0</v>
      </c>
      <c r="I266">
        <v>0</v>
      </c>
      <c r="J266">
        <v>1</v>
      </c>
      <c r="K266" t="s">
        <v>467</v>
      </c>
      <c r="L266" t="s">
        <v>865</v>
      </c>
      <c r="M266" t="s">
        <v>865</v>
      </c>
      <c r="P266" t="s">
        <v>223</v>
      </c>
      <c r="Q266">
        <v>3.2</v>
      </c>
      <c r="R266">
        <v>7.4349999999999996</v>
      </c>
      <c r="S266">
        <v>5.73</v>
      </c>
      <c r="T266">
        <v>31.7</v>
      </c>
      <c r="U266">
        <v>3.2</v>
      </c>
      <c r="V266">
        <v>106</v>
      </c>
      <c r="W266">
        <v>101.8</v>
      </c>
      <c r="X266">
        <v>3.2</v>
      </c>
      <c r="Y266">
        <v>-5.8</v>
      </c>
      <c r="Z266">
        <v>0.8</v>
      </c>
      <c r="AB266">
        <v>3.8</v>
      </c>
      <c r="AC266">
        <v>146</v>
      </c>
      <c r="AD266">
        <v>1.29</v>
      </c>
      <c r="AE266">
        <v>106</v>
      </c>
      <c r="AF266" t="s">
        <v>866</v>
      </c>
      <c r="AG266">
        <v>1.5</v>
      </c>
      <c r="AK266">
        <v>4.5999999999999996</v>
      </c>
      <c r="AM266">
        <v>100.6</v>
      </c>
      <c r="AN266">
        <v>10.9</v>
      </c>
      <c r="AO266">
        <v>14.8</v>
      </c>
      <c r="AP266">
        <v>6.8</v>
      </c>
      <c r="AQ266">
        <v>4.2</v>
      </c>
      <c r="AR266">
        <v>1.31</v>
      </c>
      <c r="AS266">
        <v>28.8</v>
      </c>
      <c r="AU266">
        <v>67.5</v>
      </c>
      <c r="AV266">
        <v>15.6</v>
      </c>
      <c r="AW266">
        <v>7460</v>
      </c>
      <c r="AX266" t="s">
        <v>803</v>
      </c>
      <c r="AY266" t="s">
        <v>867</v>
      </c>
      <c r="AZ266">
        <v>312.10000000000002</v>
      </c>
      <c r="BA266">
        <v>36.700000000000003</v>
      </c>
      <c r="BB266">
        <v>4.2</v>
      </c>
      <c r="BC266">
        <v>4.5999999999999996</v>
      </c>
    </row>
    <row r="267" spans="1:57" x14ac:dyDescent="0.25">
      <c r="A267" t="s">
        <v>720</v>
      </c>
      <c r="B267">
        <v>160</v>
      </c>
      <c r="C267" t="s">
        <v>68</v>
      </c>
      <c r="D267">
        <v>3</v>
      </c>
      <c r="E267" t="s">
        <v>71</v>
      </c>
      <c r="F267" t="s">
        <v>383</v>
      </c>
      <c r="G267">
        <v>637</v>
      </c>
      <c r="H267">
        <v>0</v>
      </c>
      <c r="I267">
        <v>0</v>
      </c>
      <c r="J267">
        <v>0</v>
      </c>
      <c r="K267" t="s">
        <v>477</v>
      </c>
      <c r="L267" t="s">
        <v>865</v>
      </c>
      <c r="M267" t="s">
        <v>865</v>
      </c>
      <c r="P267" t="s">
        <v>120</v>
      </c>
      <c r="Q267">
        <v>4.7</v>
      </c>
      <c r="R267">
        <v>7.476</v>
      </c>
      <c r="S267">
        <v>4.97</v>
      </c>
      <c r="T267">
        <v>34.6</v>
      </c>
      <c r="U267">
        <v>4.7</v>
      </c>
      <c r="V267">
        <v>106.1</v>
      </c>
      <c r="W267">
        <v>102</v>
      </c>
      <c r="X267">
        <v>3</v>
      </c>
      <c r="Y267">
        <v>-5.9</v>
      </c>
      <c r="Z267">
        <v>0.9</v>
      </c>
      <c r="AB267">
        <v>4.7</v>
      </c>
      <c r="AC267">
        <v>141</v>
      </c>
      <c r="AD267">
        <v>1.39</v>
      </c>
      <c r="AE267">
        <v>100</v>
      </c>
      <c r="AF267" t="s">
        <v>929</v>
      </c>
      <c r="AG267">
        <v>1.3</v>
      </c>
      <c r="AK267">
        <v>3.9</v>
      </c>
      <c r="AM267">
        <v>100.6</v>
      </c>
      <c r="AN267">
        <v>12.9</v>
      </c>
      <c r="AO267">
        <v>17.600000000000001</v>
      </c>
      <c r="AP267">
        <v>10.1</v>
      </c>
      <c r="AQ267">
        <v>3.6</v>
      </c>
      <c r="AR267">
        <v>1.45</v>
      </c>
      <c r="AS267">
        <v>27.5</v>
      </c>
      <c r="AU267">
        <v>64.099999999999994</v>
      </c>
      <c r="AV267">
        <v>23.1</v>
      </c>
      <c r="AW267">
        <v>7453</v>
      </c>
      <c r="AX267" t="s">
        <v>619</v>
      </c>
      <c r="AY267" t="s">
        <v>930</v>
      </c>
      <c r="AZ267">
        <v>288.3</v>
      </c>
      <c r="BA267">
        <v>33.4</v>
      </c>
      <c r="BB267">
        <v>3.6</v>
      </c>
      <c r="BC267">
        <v>3.9</v>
      </c>
    </row>
    <row r="268" spans="1:57" x14ac:dyDescent="0.25">
      <c r="A268" t="s">
        <v>861</v>
      </c>
      <c r="B268">
        <v>158</v>
      </c>
      <c r="C268" t="s">
        <v>389</v>
      </c>
      <c r="D268">
        <v>3</v>
      </c>
      <c r="E268" t="s">
        <v>146</v>
      </c>
      <c r="F268" t="s">
        <v>382</v>
      </c>
      <c r="G268">
        <v>795</v>
      </c>
      <c r="H268">
        <v>0</v>
      </c>
      <c r="I268">
        <v>1</v>
      </c>
      <c r="J268">
        <v>0</v>
      </c>
      <c r="K268" t="s">
        <v>460</v>
      </c>
      <c r="L268" t="s">
        <v>865</v>
      </c>
      <c r="M268" t="s">
        <v>865</v>
      </c>
      <c r="P268" t="s">
        <v>231</v>
      </c>
      <c r="Q268">
        <v>4.2</v>
      </c>
      <c r="R268">
        <v>7.3040000000000003</v>
      </c>
      <c r="S268">
        <v>8.3699999999999992</v>
      </c>
      <c r="T268">
        <v>3.81</v>
      </c>
      <c r="U268">
        <v>4.2</v>
      </c>
      <c r="V268">
        <v>64</v>
      </c>
      <c r="W268">
        <v>62</v>
      </c>
      <c r="X268">
        <v>2.4</v>
      </c>
      <c r="Y268">
        <v>34.799999999999997</v>
      </c>
      <c r="Z268">
        <v>0.8</v>
      </c>
      <c r="AB268">
        <v>3.8</v>
      </c>
      <c r="AC268">
        <v>157</v>
      </c>
      <c r="AD268">
        <v>1.06</v>
      </c>
      <c r="AE268">
        <v>112</v>
      </c>
      <c r="AF268" t="s">
        <v>862</v>
      </c>
      <c r="AG268">
        <v>1.5</v>
      </c>
      <c r="AI268">
        <v>6</v>
      </c>
      <c r="AJ268">
        <v>3.05</v>
      </c>
      <c r="AK268">
        <v>4.8</v>
      </c>
      <c r="AL268">
        <v>27.8</v>
      </c>
      <c r="AM268">
        <v>100.6</v>
      </c>
      <c r="AN268">
        <v>13.7</v>
      </c>
      <c r="AO268">
        <v>17.5</v>
      </c>
      <c r="AP268">
        <v>9.1999999999999993</v>
      </c>
      <c r="AQ268">
        <v>4.2</v>
      </c>
      <c r="AR268">
        <v>1</v>
      </c>
      <c r="AS268">
        <v>31.2</v>
      </c>
      <c r="AT268">
        <v>69.3</v>
      </c>
      <c r="AU268">
        <v>74.099999999999994</v>
      </c>
      <c r="AV268">
        <v>21</v>
      </c>
      <c r="AW268">
        <v>7455</v>
      </c>
      <c r="AX268" t="s">
        <v>1010</v>
      </c>
      <c r="AY268" t="s">
        <v>1011</v>
      </c>
      <c r="AZ268">
        <v>317.7</v>
      </c>
      <c r="BA268">
        <v>49.6</v>
      </c>
      <c r="BB268">
        <v>4.2</v>
      </c>
      <c r="BC268">
        <v>4.8</v>
      </c>
      <c r="BD268">
        <v>3.8</v>
      </c>
      <c r="BE268">
        <v>4.5</v>
      </c>
    </row>
    <row r="269" spans="1:57" x14ac:dyDescent="0.25">
      <c r="A269" t="s">
        <v>703</v>
      </c>
      <c r="B269">
        <v>162</v>
      </c>
      <c r="C269" t="s">
        <v>390</v>
      </c>
      <c r="D269">
        <v>3</v>
      </c>
      <c r="E269" t="s">
        <v>71</v>
      </c>
      <c r="F269" t="s">
        <v>382</v>
      </c>
      <c r="G269">
        <v>828</v>
      </c>
      <c r="H269">
        <v>0</v>
      </c>
      <c r="I269">
        <v>0</v>
      </c>
      <c r="J269">
        <v>0</v>
      </c>
      <c r="K269" t="s">
        <v>472</v>
      </c>
      <c r="L269" t="s">
        <v>865</v>
      </c>
      <c r="M269" t="s">
        <v>865</v>
      </c>
      <c r="P269" t="s">
        <v>233</v>
      </c>
      <c r="Q269">
        <v>3.6</v>
      </c>
      <c r="R269">
        <v>7.56</v>
      </c>
      <c r="S269">
        <v>3.77</v>
      </c>
      <c r="T269">
        <v>39.700000000000003</v>
      </c>
      <c r="U269">
        <v>3.6</v>
      </c>
      <c r="V269">
        <v>106.3</v>
      </c>
      <c r="W269">
        <v>101.9</v>
      </c>
      <c r="X269">
        <v>3.1</v>
      </c>
      <c r="Y269">
        <v>-6</v>
      </c>
      <c r="Z269">
        <v>1</v>
      </c>
      <c r="AB269">
        <v>3.9</v>
      </c>
      <c r="AC269">
        <v>139</v>
      </c>
      <c r="AD269">
        <v>1.25</v>
      </c>
      <c r="AE269">
        <v>100</v>
      </c>
      <c r="AF269" t="s">
        <v>800</v>
      </c>
      <c r="AG269">
        <v>1.4</v>
      </c>
      <c r="AK269">
        <v>3.1</v>
      </c>
      <c r="AM269">
        <v>100.6</v>
      </c>
      <c r="AN269">
        <v>14.3</v>
      </c>
      <c r="AO269">
        <v>18.2</v>
      </c>
      <c r="AP269">
        <v>7.7</v>
      </c>
      <c r="AQ269">
        <v>2.8</v>
      </c>
      <c r="AR269">
        <v>1.36</v>
      </c>
      <c r="AS269">
        <v>25.3</v>
      </c>
      <c r="AU269">
        <v>58.6</v>
      </c>
      <c r="AV269">
        <v>17.600000000000001</v>
      </c>
      <c r="AW269">
        <v>7443</v>
      </c>
      <c r="AX269" t="s">
        <v>945</v>
      </c>
      <c r="AY269" t="s">
        <v>946</v>
      </c>
      <c r="AZ269">
        <v>283.60000000000002</v>
      </c>
      <c r="BA269">
        <v>27.5</v>
      </c>
      <c r="BB269">
        <v>2.8</v>
      </c>
      <c r="BC269">
        <v>3.1</v>
      </c>
    </row>
    <row r="270" spans="1:57" x14ac:dyDescent="0.25">
      <c r="A270" t="s">
        <v>858</v>
      </c>
      <c r="B270">
        <v>156</v>
      </c>
      <c r="C270" t="s">
        <v>384</v>
      </c>
      <c r="D270">
        <v>3</v>
      </c>
      <c r="E270" t="s">
        <v>146</v>
      </c>
      <c r="F270" t="s">
        <v>382</v>
      </c>
      <c r="G270">
        <v>702</v>
      </c>
      <c r="H270">
        <v>0</v>
      </c>
      <c r="I270">
        <v>1</v>
      </c>
      <c r="J270">
        <v>0</v>
      </c>
      <c r="K270" t="s">
        <v>469</v>
      </c>
      <c r="L270" t="s">
        <v>865</v>
      </c>
      <c r="M270" t="s">
        <v>865</v>
      </c>
      <c r="P270" t="s">
        <v>235</v>
      </c>
      <c r="Q270">
        <v>4.5</v>
      </c>
      <c r="R270">
        <v>7.2990000000000004</v>
      </c>
      <c r="S270">
        <v>7.81</v>
      </c>
      <c r="T270">
        <v>13.8</v>
      </c>
      <c r="U270">
        <v>4.5</v>
      </c>
      <c r="V270">
        <v>104.7</v>
      </c>
      <c r="W270">
        <v>100.6</v>
      </c>
      <c r="X270">
        <v>3.2</v>
      </c>
      <c r="Y270">
        <v>-4.5</v>
      </c>
      <c r="Z270">
        <v>0.7</v>
      </c>
      <c r="AB270">
        <v>3.8</v>
      </c>
      <c r="AC270">
        <v>150</v>
      </c>
      <c r="AD270">
        <v>1.42</v>
      </c>
      <c r="AE270">
        <v>109</v>
      </c>
      <c r="AF270" t="s">
        <v>1024</v>
      </c>
      <c r="AG270">
        <v>0.5</v>
      </c>
      <c r="AK270">
        <v>2.2999999999999998</v>
      </c>
      <c r="AM270">
        <v>100.6</v>
      </c>
      <c r="AN270">
        <v>12.1</v>
      </c>
      <c r="AO270">
        <v>15.9</v>
      </c>
      <c r="AP270">
        <v>9.6999999999999993</v>
      </c>
      <c r="AQ270">
        <v>1.9</v>
      </c>
      <c r="AR270">
        <v>1.35</v>
      </c>
      <c r="AS270">
        <v>28.8</v>
      </c>
      <c r="AU270">
        <v>68.5</v>
      </c>
      <c r="AV270">
        <v>22.3</v>
      </c>
      <c r="AW270">
        <v>7424</v>
      </c>
      <c r="AX270" t="s">
        <v>737</v>
      </c>
      <c r="AY270" t="s">
        <v>1025</v>
      </c>
      <c r="AZ270">
        <v>301.7</v>
      </c>
      <c r="BA270">
        <v>50.2</v>
      </c>
      <c r="BB270">
        <v>1.9</v>
      </c>
      <c r="BC270">
        <v>2.2999999999999998</v>
      </c>
    </row>
    <row r="271" spans="1:57" x14ac:dyDescent="0.25">
      <c r="A271" t="s">
        <v>605</v>
      </c>
      <c r="B271">
        <v>163</v>
      </c>
      <c r="C271" t="s">
        <v>202</v>
      </c>
      <c r="D271">
        <v>3</v>
      </c>
      <c r="E271" t="s">
        <v>54</v>
      </c>
      <c r="F271" t="s">
        <v>382</v>
      </c>
      <c r="G271">
        <v>908</v>
      </c>
      <c r="H271">
        <v>0</v>
      </c>
      <c r="I271">
        <v>0</v>
      </c>
      <c r="J271">
        <v>1</v>
      </c>
      <c r="K271" t="s">
        <v>471</v>
      </c>
      <c r="L271" t="s">
        <v>865</v>
      </c>
      <c r="M271" t="s">
        <v>865</v>
      </c>
      <c r="P271" t="s">
        <v>203</v>
      </c>
      <c r="Q271">
        <v>4.7</v>
      </c>
      <c r="R271">
        <v>7.4720000000000004</v>
      </c>
      <c r="S271">
        <v>4.6500000000000004</v>
      </c>
      <c r="T271">
        <v>26.7</v>
      </c>
      <c r="U271">
        <v>4.7</v>
      </c>
      <c r="V271">
        <v>105.9</v>
      </c>
      <c r="W271">
        <v>101.8</v>
      </c>
      <c r="X271">
        <v>3</v>
      </c>
      <c r="Y271">
        <v>-5.7</v>
      </c>
      <c r="Z271">
        <v>0.9</v>
      </c>
      <c r="AB271">
        <v>3.4</v>
      </c>
      <c r="AC271">
        <v>153</v>
      </c>
      <c r="AD271">
        <v>1.0900000000000001</v>
      </c>
      <c r="AE271">
        <v>111</v>
      </c>
      <c r="AF271" t="s">
        <v>882</v>
      </c>
      <c r="AG271">
        <v>1.5</v>
      </c>
      <c r="AK271">
        <v>1.9</v>
      </c>
      <c r="AM271">
        <v>100.6</v>
      </c>
      <c r="AN271">
        <v>16.399999999999999</v>
      </c>
      <c r="AO271">
        <v>19.8</v>
      </c>
      <c r="AP271">
        <v>10</v>
      </c>
      <c r="AQ271">
        <v>1.8</v>
      </c>
      <c r="AR271">
        <v>1.1299999999999999</v>
      </c>
      <c r="AS271">
        <v>25.5</v>
      </c>
      <c r="AU271">
        <v>59.5</v>
      </c>
      <c r="AV271">
        <v>23</v>
      </c>
      <c r="AW271">
        <v>7428</v>
      </c>
      <c r="AX271" t="s">
        <v>883</v>
      </c>
      <c r="AY271" t="s">
        <v>884</v>
      </c>
      <c r="AZ271">
        <v>325.2</v>
      </c>
      <c r="BA271">
        <v>33.700000000000003</v>
      </c>
      <c r="BB271">
        <v>1.8</v>
      </c>
      <c r="BC271">
        <v>1.9</v>
      </c>
    </row>
    <row r="272" spans="1:57" x14ac:dyDescent="0.25">
      <c r="A272" t="s">
        <v>978</v>
      </c>
      <c r="B272">
        <v>154</v>
      </c>
      <c r="C272" t="s">
        <v>175</v>
      </c>
      <c r="D272">
        <v>3</v>
      </c>
      <c r="E272" t="s">
        <v>142</v>
      </c>
      <c r="F272" t="s">
        <v>382</v>
      </c>
      <c r="G272">
        <v>826</v>
      </c>
      <c r="H272">
        <v>1</v>
      </c>
      <c r="I272">
        <v>1</v>
      </c>
      <c r="J272">
        <v>0</v>
      </c>
      <c r="K272" t="s">
        <v>461</v>
      </c>
      <c r="L272" t="s">
        <v>865</v>
      </c>
      <c r="M272" t="s">
        <v>865</v>
      </c>
      <c r="P272" t="s">
        <v>219</v>
      </c>
      <c r="Q272">
        <v>4.5999999999999996</v>
      </c>
      <c r="R272">
        <v>7.18</v>
      </c>
      <c r="S272">
        <v>11.4</v>
      </c>
      <c r="T272">
        <v>38.200000000000003</v>
      </c>
      <c r="U272">
        <v>4.5999999999999996</v>
      </c>
      <c r="V272">
        <v>105.7</v>
      </c>
      <c r="W272">
        <v>101.5</v>
      </c>
      <c r="X272">
        <v>3</v>
      </c>
      <c r="Y272">
        <v>-5.5</v>
      </c>
      <c r="Z272">
        <v>1</v>
      </c>
      <c r="AB272">
        <v>4</v>
      </c>
      <c r="AC272">
        <v>156</v>
      </c>
      <c r="AD272">
        <v>1.1100000000000001</v>
      </c>
      <c r="AE272">
        <v>110</v>
      </c>
      <c r="AF272" t="s">
        <v>848</v>
      </c>
      <c r="AG272">
        <v>0.8</v>
      </c>
      <c r="AK272">
        <v>3.6</v>
      </c>
      <c r="AM272">
        <v>100.6</v>
      </c>
      <c r="AN272">
        <v>13.7</v>
      </c>
      <c r="AO272">
        <v>17.7</v>
      </c>
      <c r="AP272">
        <v>9.8000000000000007</v>
      </c>
      <c r="AQ272">
        <v>2.9</v>
      </c>
      <c r="AR272">
        <v>0.98</v>
      </c>
      <c r="AS272">
        <v>32</v>
      </c>
      <c r="AU272">
        <v>77.599999999999994</v>
      </c>
      <c r="AV272">
        <v>22.5</v>
      </c>
      <c r="AW272">
        <v>7429</v>
      </c>
      <c r="AX272" t="s">
        <v>979</v>
      </c>
      <c r="AY272" t="s">
        <v>980</v>
      </c>
      <c r="AZ272">
        <v>315.60000000000002</v>
      </c>
      <c r="BA272">
        <v>66</v>
      </c>
      <c r="BB272">
        <v>2.9</v>
      </c>
      <c r="BC272">
        <v>3.6</v>
      </c>
    </row>
    <row r="273" spans="1:57" x14ac:dyDescent="0.25">
      <c r="A273" t="s">
        <v>763</v>
      </c>
      <c r="C273" t="s">
        <v>145</v>
      </c>
      <c r="D273">
        <v>3</v>
      </c>
      <c r="E273" t="s">
        <v>142</v>
      </c>
      <c r="F273" t="s">
        <v>382</v>
      </c>
      <c r="G273">
        <v>970</v>
      </c>
      <c r="H273">
        <v>1</v>
      </c>
      <c r="I273">
        <v>1</v>
      </c>
      <c r="J273">
        <v>0</v>
      </c>
      <c r="K273" t="s">
        <v>475</v>
      </c>
      <c r="L273" t="s">
        <v>865</v>
      </c>
      <c r="M273" t="s">
        <v>865</v>
      </c>
      <c r="O273">
        <v>1</v>
      </c>
      <c r="P273" t="s">
        <v>200</v>
      </c>
      <c r="Q273">
        <v>3.7</v>
      </c>
      <c r="R273">
        <v>7.226</v>
      </c>
      <c r="S273">
        <v>9.83</v>
      </c>
      <c r="T273">
        <v>32</v>
      </c>
      <c r="U273">
        <v>3.7</v>
      </c>
      <c r="V273">
        <v>105.9</v>
      </c>
      <c r="W273">
        <v>102.1</v>
      </c>
      <c r="X273">
        <v>3.1</v>
      </c>
      <c r="Y273">
        <v>-5.7</v>
      </c>
      <c r="Z273">
        <v>0.5</v>
      </c>
      <c r="AB273">
        <v>4.0999999999999996</v>
      </c>
      <c r="AC273">
        <v>146</v>
      </c>
      <c r="AD273">
        <v>1.27</v>
      </c>
      <c r="AE273">
        <v>104</v>
      </c>
      <c r="AF273" t="s">
        <v>940</v>
      </c>
      <c r="AG273">
        <v>0.6</v>
      </c>
      <c r="AK273">
        <v>3</v>
      </c>
      <c r="AM273">
        <v>100.6</v>
      </c>
      <c r="AN273">
        <v>11.6</v>
      </c>
      <c r="AO273">
        <v>15.7</v>
      </c>
      <c r="AP273">
        <v>8</v>
      </c>
      <c r="AQ273">
        <v>2.7</v>
      </c>
      <c r="AR273">
        <v>1.1599999999999999</v>
      </c>
      <c r="AS273">
        <v>30.6</v>
      </c>
      <c r="AU273">
        <v>73.599999999999994</v>
      </c>
      <c r="AV273">
        <v>18.3</v>
      </c>
      <c r="AW273">
        <v>7431</v>
      </c>
      <c r="AX273" t="s">
        <v>976</v>
      </c>
      <c r="AY273" t="s">
        <v>977</v>
      </c>
      <c r="AZ273">
        <v>297.10000000000002</v>
      </c>
      <c r="BA273">
        <v>59.4</v>
      </c>
      <c r="BB273">
        <v>2.7</v>
      </c>
      <c r="BC273">
        <v>3</v>
      </c>
    </row>
    <row r="274" spans="1:57" x14ac:dyDescent="0.25">
      <c r="A274" t="s">
        <v>655</v>
      </c>
      <c r="B274">
        <v>119</v>
      </c>
      <c r="C274" t="s">
        <v>49</v>
      </c>
      <c r="D274">
        <v>2</v>
      </c>
      <c r="E274" t="s">
        <v>40</v>
      </c>
      <c r="F274" t="s">
        <v>383</v>
      </c>
      <c r="G274">
        <v>1189</v>
      </c>
      <c r="H274">
        <v>0</v>
      </c>
      <c r="I274">
        <v>1</v>
      </c>
      <c r="J274">
        <v>1</v>
      </c>
      <c r="K274" t="s">
        <v>190</v>
      </c>
      <c r="L274" t="s">
        <v>903</v>
      </c>
      <c r="M274" t="s">
        <v>865</v>
      </c>
      <c r="N274">
        <v>1</v>
      </c>
      <c r="P274" t="s">
        <v>362</v>
      </c>
      <c r="Q274">
        <v>6.5</v>
      </c>
      <c r="R274">
        <v>7.0880000000000001</v>
      </c>
      <c r="S274">
        <v>11.4</v>
      </c>
      <c r="T274">
        <v>3.6</v>
      </c>
      <c r="U274">
        <v>6.5</v>
      </c>
      <c r="V274">
        <v>46.3</v>
      </c>
      <c r="W274">
        <v>45.6</v>
      </c>
      <c r="X274">
        <v>0.8</v>
      </c>
      <c r="Y274">
        <v>52.8</v>
      </c>
      <c r="Z274">
        <v>0.8</v>
      </c>
      <c r="AB274">
        <v>3.8</v>
      </c>
      <c r="AC274">
        <v>201</v>
      </c>
      <c r="AD274">
        <v>0.74</v>
      </c>
      <c r="AE274">
        <v>136</v>
      </c>
      <c r="AF274" t="s">
        <v>885</v>
      </c>
      <c r="AG274">
        <v>6.1</v>
      </c>
      <c r="AI274">
        <v>6.7</v>
      </c>
      <c r="AJ274">
        <v>3.81</v>
      </c>
      <c r="AK274">
        <v>-4</v>
      </c>
      <c r="AL274">
        <v>19.399999999999999</v>
      </c>
      <c r="AM274">
        <v>100.4</v>
      </c>
      <c r="AN274">
        <v>39</v>
      </c>
      <c r="AO274">
        <v>42.8</v>
      </c>
      <c r="AP274">
        <v>14.3</v>
      </c>
      <c r="AQ274">
        <v>-5.0999999999999996</v>
      </c>
      <c r="AR274">
        <v>0.63</v>
      </c>
      <c r="AS274">
        <v>25.8</v>
      </c>
      <c r="AT274">
        <v>58.6</v>
      </c>
      <c r="AU274">
        <v>63.8</v>
      </c>
      <c r="AV274">
        <v>32</v>
      </c>
      <c r="AW274">
        <v>7301</v>
      </c>
      <c r="AX274" t="s">
        <v>979</v>
      </c>
      <c r="AY274" t="s">
        <v>1029</v>
      </c>
      <c r="AZ274">
        <v>441.9</v>
      </c>
      <c r="BA274">
        <v>81.599999999999994</v>
      </c>
      <c r="BB274">
        <v>-5.0999999999999996</v>
      </c>
      <c r="BC274">
        <v>-4</v>
      </c>
      <c r="BD274">
        <v>-6.2</v>
      </c>
      <c r="BE274">
        <v>-4.5</v>
      </c>
    </row>
    <row r="275" spans="1:57" x14ac:dyDescent="0.25">
      <c r="A275" t="s">
        <v>759</v>
      </c>
      <c r="B275">
        <v>116</v>
      </c>
      <c r="C275" t="s">
        <v>387</v>
      </c>
      <c r="D275">
        <v>2</v>
      </c>
      <c r="E275" t="s">
        <v>142</v>
      </c>
      <c r="F275" t="s">
        <v>382</v>
      </c>
      <c r="G275">
        <v>1270</v>
      </c>
      <c r="H275">
        <v>1</v>
      </c>
      <c r="I275">
        <v>1</v>
      </c>
      <c r="J275">
        <v>0</v>
      </c>
      <c r="K275" t="s">
        <v>194</v>
      </c>
      <c r="L275" t="s">
        <v>903</v>
      </c>
      <c r="M275" t="s">
        <v>865</v>
      </c>
      <c r="N275">
        <v>1</v>
      </c>
      <c r="P275" t="s">
        <v>1030</v>
      </c>
      <c r="Q275">
        <v>5.0999999999999996</v>
      </c>
      <c r="R275">
        <v>7.0810000000000004</v>
      </c>
      <c r="S275">
        <v>12.7</v>
      </c>
      <c r="T275">
        <v>3.03</v>
      </c>
      <c r="U275">
        <v>5.0999999999999996</v>
      </c>
      <c r="V275">
        <v>34.200000000000003</v>
      </c>
      <c r="W275">
        <v>33.700000000000003</v>
      </c>
      <c r="X275">
        <v>0.7</v>
      </c>
      <c r="Y275">
        <v>64.7</v>
      </c>
      <c r="Z275">
        <v>0.9</v>
      </c>
      <c r="AB275">
        <v>4.5</v>
      </c>
      <c r="AC275">
        <v>158</v>
      </c>
      <c r="AD275">
        <v>1.26</v>
      </c>
      <c r="AE275">
        <v>113</v>
      </c>
      <c r="AF275" t="s">
        <v>736</v>
      </c>
      <c r="AG275">
        <v>4.3</v>
      </c>
      <c r="AI275">
        <v>3.9</v>
      </c>
      <c r="AJ275">
        <v>3.91</v>
      </c>
      <c r="AK275">
        <v>-1.6</v>
      </c>
      <c r="AL275">
        <v>21.6</v>
      </c>
      <c r="AM275">
        <v>100.4</v>
      </c>
      <c r="AN275">
        <v>17.3</v>
      </c>
      <c r="AO275">
        <v>21.9</v>
      </c>
      <c r="AP275">
        <v>11.3</v>
      </c>
      <c r="AQ275">
        <v>-2.4</v>
      </c>
      <c r="AR275">
        <v>1.06</v>
      </c>
      <c r="AS275">
        <v>28.3</v>
      </c>
      <c r="AT275">
        <v>65.7</v>
      </c>
      <c r="AU275">
        <v>70</v>
      </c>
      <c r="AV275">
        <v>25.3</v>
      </c>
      <c r="AW275">
        <v>7345</v>
      </c>
      <c r="AX275" t="s">
        <v>1031</v>
      </c>
      <c r="AY275" t="s">
        <v>1032</v>
      </c>
      <c r="AZ275">
        <v>323.10000000000002</v>
      </c>
      <c r="BA275">
        <v>82.9</v>
      </c>
      <c r="BB275">
        <v>-2.4</v>
      </c>
      <c r="BC275">
        <v>-1.6</v>
      </c>
      <c r="BD275">
        <v>-3.4</v>
      </c>
      <c r="BE275">
        <v>-2.2000000000000002</v>
      </c>
    </row>
    <row r="276" spans="1:57" x14ac:dyDescent="0.25">
      <c r="A276" t="s">
        <v>639</v>
      </c>
      <c r="B276">
        <v>151</v>
      </c>
      <c r="C276" t="s">
        <v>45</v>
      </c>
      <c r="D276">
        <v>3</v>
      </c>
      <c r="E276" t="s">
        <v>40</v>
      </c>
      <c r="F276" t="s">
        <v>383</v>
      </c>
      <c r="G276">
        <v>949.7</v>
      </c>
      <c r="H276">
        <v>0</v>
      </c>
      <c r="I276">
        <v>1</v>
      </c>
      <c r="J276">
        <v>1</v>
      </c>
      <c r="K276" t="s">
        <v>463</v>
      </c>
      <c r="L276" t="s">
        <v>903</v>
      </c>
      <c r="M276" t="s">
        <v>865</v>
      </c>
      <c r="N276">
        <v>1</v>
      </c>
      <c r="P276" t="s">
        <v>464</v>
      </c>
      <c r="Q276">
        <v>4.4000000000000004</v>
      </c>
      <c r="R276">
        <v>6.9930000000000003</v>
      </c>
      <c r="S276">
        <v>15.1</v>
      </c>
      <c r="T276">
        <v>5.31</v>
      </c>
      <c r="U276">
        <v>4.4000000000000004</v>
      </c>
      <c r="V276">
        <v>76.3</v>
      </c>
      <c r="W276">
        <v>73.2</v>
      </c>
      <c r="X276">
        <v>2.8</v>
      </c>
      <c r="Y276">
        <v>22.8</v>
      </c>
      <c r="Z276">
        <v>1.2</v>
      </c>
      <c r="AB276">
        <v>4.7</v>
      </c>
      <c r="AC276">
        <v>129</v>
      </c>
      <c r="AD276">
        <v>1.53</v>
      </c>
      <c r="AE276">
        <v>96</v>
      </c>
      <c r="AF276" t="s">
        <v>1036</v>
      </c>
      <c r="AG276">
        <v>3</v>
      </c>
      <c r="AI276">
        <v>7.4</v>
      </c>
      <c r="AJ276">
        <v>3.43</v>
      </c>
      <c r="AK276">
        <v>-4</v>
      </c>
      <c r="AL276">
        <v>20.7</v>
      </c>
      <c r="AM276">
        <v>100.6</v>
      </c>
      <c r="AN276">
        <v>5.9</v>
      </c>
      <c r="AO276">
        <v>10.6</v>
      </c>
      <c r="AP276">
        <v>9.6</v>
      </c>
      <c r="AQ276">
        <v>-4.2</v>
      </c>
      <c r="AR276">
        <v>1.22</v>
      </c>
      <c r="AS276">
        <v>27.4</v>
      </c>
      <c r="AT276">
        <v>65.5</v>
      </c>
      <c r="AU276">
        <v>69.3</v>
      </c>
      <c r="AV276">
        <v>21.9</v>
      </c>
      <c r="AW276">
        <v>7308</v>
      </c>
      <c r="AX276" t="s">
        <v>1037</v>
      </c>
      <c r="AY276" t="s">
        <v>1038</v>
      </c>
      <c r="BA276">
        <v>101.7</v>
      </c>
      <c r="BB276">
        <v>-4.2</v>
      </c>
      <c r="BC276">
        <v>-4</v>
      </c>
      <c r="BD276">
        <v>-4.5</v>
      </c>
      <c r="BE276">
        <v>-4.2</v>
      </c>
    </row>
    <row r="277" spans="1:57" x14ac:dyDescent="0.25">
      <c r="A277" t="s">
        <v>763</v>
      </c>
      <c r="C277" t="s">
        <v>145</v>
      </c>
      <c r="D277">
        <v>3</v>
      </c>
      <c r="E277" t="s">
        <v>142</v>
      </c>
      <c r="F277" t="s">
        <v>382</v>
      </c>
      <c r="G277">
        <v>970</v>
      </c>
      <c r="H277">
        <v>1</v>
      </c>
      <c r="I277">
        <v>1</v>
      </c>
      <c r="J277">
        <v>0</v>
      </c>
      <c r="K277" t="s">
        <v>451</v>
      </c>
      <c r="L277" t="s">
        <v>903</v>
      </c>
      <c r="M277" t="s">
        <v>865</v>
      </c>
      <c r="N277">
        <v>1</v>
      </c>
      <c r="P277" t="s">
        <v>452</v>
      </c>
      <c r="Q277">
        <v>3.8</v>
      </c>
      <c r="R277">
        <v>7.0789999999999997</v>
      </c>
      <c r="S277">
        <v>14.5</v>
      </c>
      <c r="T277">
        <v>37.1</v>
      </c>
      <c r="U277">
        <v>3.8</v>
      </c>
      <c r="V277">
        <v>105.6</v>
      </c>
      <c r="W277">
        <v>101.3</v>
      </c>
      <c r="X277">
        <v>3.1</v>
      </c>
      <c r="Y277">
        <v>-5.4</v>
      </c>
      <c r="Z277">
        <v>1</v>
      </c>
      <c r="AB277">
        <v>4.2</v>
      </c>
      <c r="AC277">
        <v>142</v>
      </c>
      <c r="AD277">
        <v>1.45</v>
      </c>
      <c r="AE277">
        <v>102</v>
      </c>
      <c r="AF277" t="s">
        <v>1033</v>
      </c>
      <c r="AG277">
        <v>0.5</v>
      </c>
      <c r="AK277">
        <v>2.1</v>
      </c>
      <c r="AM277">
        <v>100.5</v>
      </c>
      <c r="AN277">
        <v>7.3</v>
      </c>
      <c r="AO277">
        <v>11.5</v>
      </c>
      <c r="AP277">
        <v>8.1</v>
      </c>
      <c r="AQ277">
        <v>1.8</v>
      </c>
      <c r="AR277">
        <v>1.22</v>
      </c>
      <c r="AS277">
        <v>32</v>
      </c>
      <c r="AU277">
        <v>79.3</v>
      </c>
      <c r="AV277">
        <v>18.600000000000001</v>
      </c>
      <c r="AW277">
        <v>7407</v>
      </c>
      <c r="AX277" t="s">
        <v>1034</v>
      </c>
      <c r="AY277" t="s">
        <v>1035</v>
      </c>
      <c r="AZ277">
        <v>288.60000000000002</v>
      </c>
      <c r="BA277">
        <v>83.3</v>
      </c>
      <c r="BB277">
        <v>1.8</v>
      </c>
      <c r="BC277">
        <v>2.1</v>
      </c>
    </row>
    <row r="278" spans="1:57" x14ac:dyDescent="0.25">
      <c r="A278" t="s">
        <v>734</v>
      </c>
      <c r="C278" t="s">
        <v>80</v>
      </c>
      <c r="D278">
        <v>1</v>
      </c>
      <c r="E278" t="s">
        <v>142</v>
      </c>
      <c r="F278" t="s">
        <v>60</v>
      </c>
      <c r="G278">
        <v>1324.5</v>
      </c>
      <c r="H278">
        <v>1</v>
      </c>
      <c r="I278">
        <v>1</v>
      </c>
      <c r="J278">
        <v>0</v>
      </c>
      <c r="K278" t="s">
        <v>1043</v>
      </c>
      <c r="L278" t="s">
        <v>1039</v>
      </c>
      <c r="M278" t="s">
        <v>865</v>
      </c>
      <c r="N278">
        <v>1</v>
      </c>
      <c r="P278" t="s">
        <v>122</v>
      </c>
      <c r="Q278">
        <v>3.6</v>
      </c>
      <c r="R278">
        <v>6.9820000000000002</v>
      </c>
      <c r="S278">
        <v>9.74</v>
      </c>
      <c r="T278">
        <v>2.08</v>
      </c>
      <c r="U278">
        <v>3.6</v>
      </c>
      <c r="V278">
        <v>27.6</v>
      </c>
      <c r="W278">
        <v>26.7</v>
      </c>
      <c r="X278">
        <v>1.3</v>
      </c>
      <c r="Y278">
        <v>70.099999999999994</v>
      </c>
      <c r="Z278">
        <v>1.9</v>
      </c>
      <c r="AB278">
        <v>6.5</v>
      </c>
      <c r="AC278">
        <v>140</v>
      </c>
      <c r="AD278">
        <v>1.39</v>
      </c>
      <c r="AE278">
        <v>101</v>
      </c>
      <c r="AF278" t="s">
        <v>963</v>
      </c>
      <c r="AG278">
        <v>16</v>
      </c>
      <c r="AI278">
        <v>2.2000000000000002</v>
      </c>
      <c r="AJ278">
        <v>3.12</v>
      </c>
      <c r="AK278">
        <v>-14.3</v>
      </c>
      <c r="AL278">
        <v>13.4</v>
      </c>
      <c r="AM278">
        <v>101.1</v>
      </c>
      <c r="AN278">
        <v>22.1</v>
      </c>
      <c r="AO278">
        <v>28.5</v>
      </c>
      <c r="AP278">
        <v>7.7</v>
      </c>
      <c r="AQ278">
        <v>-13</v>
      </c>
      <c r="AR278">
        <v>1.1100000000000001</v>
      </c>
      <c r="AS278">
        <v>17.3</v>
      </c>
      <c r="AT278">
        <v>42.1</v>
      </c>
      <c r="AU278">
        <v>43.7</v>
      </c>
      <c r="AV278">
        <v>17.600000000000001</v>
      </c>
      <c r="AW278">
        <v>7153</v>
      </c>
      <c r="AX278" t="s">
        <v>1044</v>
      </c>
      <c r="AY278" t="s">
        <v>1045</v>
      </c>
      <c r="AZ278">
        <v>283.7</v>
      </c>
      <c r="BA278">
        <v>104.2</v>
      </c>
      <c r="BB278">
        <v>-13</v>
      </c>
      <c r="BC278">
        <v>-14.3</v>
      </c>
      <c r="BD278">
        <v>-13.8</v>
      </c>
      <c r="BE278">
        <v>-15</v>
      </c>
    </row>
    <row r="279" spans="1:57" x14ac:dyDescent="0.25">
      <c r="A279" t="s">
        <v>631</v>
      </c>
      <c r="B279">
        <v>118</v>
      </c>
      <c r="C279" t="s">
        <v>68</v>
      </c>
      <c r="D279">
        <v>2</v>
      </c>
      <c r="E279" t="s">
        <v>40</v>
      </c>
      <c r="F279" t="s">
        <v>382</v>
      </c>
      <c r="G279">
        <v>1303</v>
      </c>
      <c r="H279">
        <v>0</v>
      </c>
      <c r="I279">
        <v>1</v>
      </c>
      <c r="J279">
        <v>1</v>
      </c>
      <c r="K279" t="s">
        <v>192</v>
      </c>
      <c r="L279" t="s">
        <v>1039</v>
      </c>
      <c r="M279" t="s">
        <v>865</v>
      </c>
      <c r="N279">
        <v>1</v>
      </c>
      <c r="P279" t="s">
        <v>364</v>
      </c>
      <c r="Q279">
        <v>4.9000000000000004</v>
      </c>
      <c r="R279">
        <v>6.992</v>
      </c>
      <c r="S279">
        <v>13.8</v>
      </c>
      <c r="T279">
        <v>4.72</v>
      </c>
      <c r="U279">
        <v>4.9000000000000004</v>
      </c>
      <c r="V279">
        <v>65.7</v>
      </c>
      <c r="W279">
        <v>63.3</v>
      </c>
      <c r="X279">
        <v>2.2999999999999998</v>
      </c>
      <c r="Y279">
        <v>33</v>
      </c>
      <c r="Z279">
        <v>1.4</v>
      </c>
      <c r="AB279">
        <v>3.3</v>
      </c>
      <c r="AC279">
        <v>154</v>
      </c>
      <c r="AD279">
        <v>1.45</v>
      </c>
      <c r="AE279">
        <v>112</v>
      </c>
      <c r="AF279" t="s">
        <v>1040</v>
      </c>
      <c r="AG279">
        <v>6</v>
      </c>
      <c r="AI279">
        <v>7.1</v>
      </c>
      <c r="AJ279">
        <v>3.71</v>
      </c>
      <c r="AK279">
        <v>-6.3</v>
      </c>
      <c r="AL279">
        <v>18.600000000000001</v>
      </c>
      <c r="AM279">
        <v>100.4</v>
      </c>
      <c r="AN279">
        <v>15.9</v>
      </c>
      <c r="AO279">
        <v>19.2</v>
      </c>
      <c r="AP279">
        <v>10.6</v>
      </c>
      <c r="AQ279">
        <v>-6.6</v>
      </c>
      <c r="AR279">
        <v>1.1599999999999999</v>
      </c>
      <c r="AS279">
        <v>25.1</v>
      </c>
      <c r="AT279">
        <v>59.7</v>
      </c>
      <c r="AU279">
        <v>63.4</v>
      </c>
      <c r="AV279">
        <v>24.2</v>
      </c>
      <c r="AW279">
        <v>7268</v>
      </c>
      <c r="AX279" t="s">
        <v>1041</v>
      </c>
      <c r="AY279" t="s">
        <v>1042</v>
      </c>
      <c r="AZ279">
        <v>325.3</v>
      </c>
      <c r="BA279">
        <v>101.9</v>
      </c>
      <c r="BB279">
        <v>-6.6</v>
      </c>
      <c r="BC279">
        <v>-6.3</v>
      </c>
      <c r="BD279">
        <v>-7.1</v>
      </c>
      <c r="BE279">
        <v>-6.6</v>
      </c>
    </row>
    <row r="280" spans="1:57" x14ac:dyDescent="0.25">
      <c r="A280" t="s">
        <v>959</v>
      </c>
      <c r="B280">
        <v>120</v>
      </c>
      <c r="C280" t="s">
        <v>202</v>
      </c>
      <c r="D280">
        <v>2</v>
      </c>
      <c r="E280" t="s">
        <v>142</v>
      </c>
      <c r="F280" t="s">
        <v>383</v>
      </c>
      <c r="G280">
        <v>1180.8</v>
      </c>
      <c r="H280">
        <v>1</v>
      </c>
      <c r="I280">
        <v>1</v>
      </c>
      <c r="J280">
        <v>0</v>
      </c>
      <c r="K280" t="s">
        <v>186</v>
      </c>
      <c r="L280" t="s">
        <v>700</v>
      </c>
      <c r="M280" t="s">
        <v>865</v>
      </c>
      <c r="N280">
        <v>1</v>
      </c>
      <c r="P280" t="s">
        <v>359</v>
      </c>
      <c r="Q280">
        <v>4.4000000000000004</v>
      </c>
      <c r="R280">
        <v>7.0709999999999997</v>
      </c>
      <c r="S280">
        <v>11.4</v>
      </c>
      <c r="T280">
        <v>7.45</v>
      </c>
      <c r="U280">
        <v>4.4000000000000004</v>
      </c>
      <c r="V280">
        <v>93</v>
      </c>
      <c r="W280">
        <v>89</v>
      </c>
      <c r="X280">
        <v>3</v>
      </c>
      <c r="Y280">
        <v>6.7</v>
      </c>
      <c r="Z280">
        <v>1.3</v>
      </c>
      <c r="AB280">
        <v>4.0999999999999996</v>
      </c>
      <c r="AC280">
        <v>142</v>
      </c>
      <c r="AD280">
        <v>1.41</v>
      </c>
      <c r="AE280">
        <v>105</v>
      </c>
      <c r="AF280" t="s">
        <v>906</v>
      </c>
      <c r="AG280">
        <v>2.1</v>
      </c>
      <c r="AI280">
        <v>9</v>
      </c>
      <c r="AJ280">
        <v>2.83</v>
      </c>
      <c r="AK280">
        <v>-5.3</v>
      </c>
      <c r="AL280">
        <v>20</v>
      </c>
      <c r="AM280">
        <v>100.4</v>
      </c>
      <c r="AN280">
        <v>11.9</v>
      </c>
      <c r="AO280">
        <v>16</v>
      </c>
      <c r="AP280">
        <v>9.5</v>
      </c>
      <c r="AQ280">
        <v>-5.2</v>
      </c>
      <c r="AR280">
        <v>1.17</v>
      </c>
      <c r="AS280">
        <v>24.9</v>
      </c>
      <c r="AT280">
        <v>57.8</v>
      </c>
      <c r="AU280">
        <v>61.6</v>
      </c>
      <c r="AV280">
        <v>21.8</v>
      </c>
      <c r="AW280">
        <v>7301</v>
      </c>
      <c r="AX280" t="s">
        <v>979</v>
      </c>
      <c r="AY280" t="s">
        <v>1050</v>
      </c>
      <c r="AZ280">
        <v>312.2</v>
      </c>
      <c r="BA280">
        <v>84.8</v>
      </c>
      <c r="BB280">
        <v>-5.2</v>
      </c>
      <c r="BC280">
        <v>-5.3</v>
      </c>
      <c r="BD280">
        <v>-5.3</v>
      </c>
      <c r="BE280">
        <v>-5.3</v>
      </c>
    </row>
    <row r="281" spans="1:57" x14ac:dyDescent="0.25">
      <c r="A281" t="s">
        <v>751</v>
      </c>
      <c r="B281">
        <v>149</v>
      </c>
      <c r="C281" t="s">
        <v>586</v>
      </c>
      <c r="D281">
        <v>3</v>
      </c>
      <c r="E281" t="s">
        <v>142</v>
      </c>
      <c r="F281" t="s">
        <v>383</v>
      </c>
      <c r="G281">
        <v>847</v>
      </c>
      <c r="H281">
        <v>1</v>
      </c>
      <c r="I281">
        <v>1</v>
      </c>
      <c r="J281">
        <v>0</v>
      </c>
      <c r="K281" t="s">
        <v>447</v>
      </c>
      <c r="L281" t="s">
        <v>700</v>
      </c>
      <c r="M281" t="s">
        <v>865</v>
      </c>
      <c r="N281">
        <v>1</v>
      </c>
      <c r="P281" t="s">
        <v>448</v>
      </c>
      <c r="Q281">
        <v>4.8</v>
      </c>
      <c r="R281">
        <v>7.0590000000000002</v>
      </c>
      <c r="S281">
        <v>8.0299999999999994</v>
      </c>
      <c r="T281">
        <v>2.27</v>
      </c>
      <c r="U281">
        <v>4.8</v>
      </c>
      <c r="V281">
        <v>25.5</v>
      </c>
      <c r="W281">
        <v>24.9</v>
      </c>
      <c r="X281">
        <v>1.1000000000000001</v>
      </c>
      <c r="Y281">
        <v>72.599999999999994</v>
      </c>
      <c r="Z281">
        <v>1.4</v>
      </c>
      <c r="AB281">
        <v>4.4000000000000004</v>
      </c>
      <c r="AC281">
        <v>145</v>
      </c>
      <c r="AD281">
        <v>1.36</v>
      </c>
      <c r="AE281">
        <v>106</v>
      </c>
      <c r="AF281" t="s">
        <v>652</v>
      </c>
      <c r="AG281">
        <v>17</v>
      </c>
      <c r="AI281">
        <v>2.7</v>
      </c>
      <c r="AJ281">
        <v>3.52</v>
      </c>
      <c r="AK281">
        <v>-13.3</v>
      </c>
      <c r="AL281">
        <v>13.6</v>
      </c>
      <c r="AM281">
        <v>100.4</v>
      </c>
      <c r="AN281">
        <v>22</v>
      </c>
      <c r="AO281">
        <v>26.4</v>
      </c>
      <c r="AP281">
        <v>10.6</v>
      </c>
      <c r="AQ281">
        <v>-12.7</v>
      </c>
      <c r="AR281">
        <v>1.1299999999999999</v>
      </c>
      <c r="AS281">
        <v>17</v>
      </c>
      <c r="AT281">
        <v>39.799999999999997</v>
      </c>
      <c r="AU281">
        <v>42.2</v>
      </c>
      <c r="AV281">
        <v>23.9</v>
      </c>
      <c r="AW281">
        <v>7169</v>
      </c>
      <c r="AX281" t="s">
        <v>1048</v>
      </c>
      <c r="AY281" t="s">
        <v>1049</v>
      </c>
      <c r="AZ281">
        <v>291.60000000000002</v>
      </c>
      <c r="BA281">
        <v>87.3</v>
      </c>
      <c r="BB281">
        <v>-12.7</v>
      </c>
      <c r="BC281">
        <v>-13.3</v>
      </c>
      <c r="BD281">
        <v>-13.8</v>
      </c>
      <c r="BE281">
        <v>-14</v>
      </c>
    </row>
    <row r="282" spans="1:57" x14ac:dyDescent="0.25">
      <c r="A282" t="s">
        <v>670</v>
      </c>
      <c r="B282">
        <v>148</v>
      </c>
      <c r="C282" t="s">
        <v>585</v>
      </c>
      <c r="D282">
        <v>3</v>
      </c>
      <c r="E282" t="s">
        <v>40</v>
      </c>
      <c r="F282" t="s">
        <v>383</v>
      </c>
      <c r="G282">
        <v>1159</v>
      </c>
      <c r="H282">
        <v>0</v>
      </c>
      <c r="I282">
        <v>1</v>
      </c>
      <c r="J282">
        <v>1</v>
      </c>
      <c r="K282" t="s">
        <v>449</v>
      </c>
      <c r="L282" t="s">
        <v>700</v>
      </c>
      <c r="M282" t="s">
        <v>865</v>
      </c>
      <c r="N282">
        <v>1</v>
      </c>
      <c r="P282" t="s">
        <v>450</v>
      </c>
      <c r="Q282">
        <v>4.5999999999999996</v>
      </c>
      <c r="R282">
        <v>6.8849999999999998</v>
      </c>
      <c r="S282">
        <v>7.24</v>
      </c>
      <c r="T282">
        <v>2.82</v>
      </c>
      <c r="U282">
        <v>4.5999999999999996</v>
      </c>
      <c r="V282">
        <v>25.8</v>
      </c>
      <c r="W282">
        <v>25.2</v>
      </c>
      <c r="X282">
        <v>1.1000000000000001</v>
      </c>
      <c r="Y282">
        <v>72.400000000000006</v>
      </c>
      <c r="Z282">
        <v>1.3</v>
      </c>
      <c r="AB282">
        <v>5</v>
      </c>
      <c r="AC282">
        <v>135</v>
      </c>
      <c r="AD282">
        <v>1.51</v>
      </c>
      <c r="AE282">
        <v>100</v>
      </c>
      <c r="AF282" t="s">
        <v>437</v>
      </c>
      <c r="AG282">
        <v>18</v>
      </c>
      <c r="AI282">
        <v>2.7</v>
      </c>
      <c r="AJ282">
        <v>4.28</v>
      </c>
      <c r="AK282">
        <v>-22.9</v>
      </c>
      <c r="AL282">
        <v>7.9</v>
      </c>
      <c r="AM282">
        <v>100.5</v>
      </c>
      <c r="AN282">
        <v>24.7</v>
      </c>
      <c r="AO282">
        <v>29.7</v>
      </c>
      <c r="AP282">
        <v>10.1</v>
      </c>
      <c r="AQ282">
        <v>-21.5</v>
      </c>
      <c r="AR282">
        <v>1.1299999999999999</v>
      </c>
      <c r="AS282">
        <v>10.3</v>
      </c>
      <c r="AT282">
        <v>25.6</v>
      </c>
      <c r="AU282">
        <v>26.7</v>
      </c>
      <c r="AV282">
        <v>22.7</v>
      </c>
      <c r="AW282">
        <v>6955</v>
      </c>
      <c r="AX282" t="s">
        <v>1046</v>
      </c>
      <c r="AY282" t="s">
        <v>1047</v>
      </c>
      <c r="BA282">
        <v>130.5</v>
      </c>
      <c r="BB282">
        <v>-21.5</v>
      </c>
      <c r="BC282">
        <v>-22.9</v>
      </c>
      <c r="BD282">
        <v>-22.5</v>
      </c>
      <c r="BE282">
        <v>-23.6</v>
      </c>
    </row>
    <row r="283" spans="1:57" x14ac:dyDescent="0.25">
      <c r="A283" t="s">
        <v>686</v>
      </c>
      <c r="C283" t="s">
        <v>39</v>
      </c>
      <c r="D283">
        <v>1</v>
      </c>
      <c r="E283" t="s">
        <v>40</v>
      </c>
      <c r="F283" t="s">
        <v>49</v>
      </c>
      <c r="G283">
        <v>1222</v>
      </c>
      <c r="H283">
        <v>0</v>
      </c>
      <c r="I283">
        <v>1</v>
      </c>
      <c r="J283">
        <v>1</v>
      </c>
      <c r="K283" t="s">
        <v>1051</v>
      </c>
      <c r="L283" t="s">
        <v>786</v>
      </c>
      <c r="M283" t="s">
        <v>865</v>
      </c>
      <c r="N283">
        <v>1</v>
      </c>
      <c r="P283" t="s">
        <v>123</v>
      </c>
      <c r="Q283">
        <v>4.8</v>
      </c>
      <c r="R283">
        <v>6.9539999999999997</v>
      </c>
      <c r="S283">
        <v>17.399999999999999</v>
      </c>
      <c r="T283">
        <v>5.91</v>
      </c>
      <c r="U283">
        <v>4.8</v>
      </c>
      <c r="V283">
        <v>76.099999999999994</v>
      </c>
      <c r="W283">
        <v>73.5</v>
      </c>
      <c r="X283">
        <v>2.6</v>
      </c>
      <c r="Y283">
        <v>23.1</v>
      </c>
      <c r="Z283">
        <v>0.8</v>
      </c>
      <c r="AB283">
        <v>3.9</v>
      </c>
      <c r="AC283">
        <v>144</v>
      </c>
      <c r="AD283">
        <v>1.68</v>
      </c>
      <c r="AE283">
        <v>106</v>
      </c>
      <c r="AF283" t="s">
        <v>869</v>
      </c>
      <c r="AG283">
        <v>2.7</v>
      </c>
      <c r="AI283">
        <v>8</v>
      </c>
      <c r="AJ283">
        <v>3.88</v>
      </c>
      <c r="AK283">
        <v>-3</v>
      </c>
      <c r="AL283">
        <v>21</v>
      </c>
      <c r="AM283">
        <v>101.1</v>
      </c>
      <c r="AN283">
        <v>9.6</v>
      </c>
      <c r="AO283">
        <v>13.5</v>
      </c>
      <c r="AP283">
        <v>10.4</v>
      </c>
      <c r="AQ283">
        <v>-3.7</v>
      </c>
      <c r="AR283">
        <v>1.31</v>
      </c>
      <c r="AS283">
        <v>29</v>
      </c>
      <c r="AT283">
        <v>69.8</v>
      </c>
      <c r="AU283">
        <v>74</v>
      </c>
      <c r="AV283">
        <v>23.7</v>
      </c>
      <c r="AW283">
        <v>7308</v>
      </c>
      <c r="AX283" t="s">
        <v>1052</v>
      </c>
      <c r="AY283" t="s">
        <v>1053</v>
      </c>
      <c r="AZ283">
        <v>302.39999999999998</v>
      </c>
      <c r="BA283">
        <v>111.1</v>
      </c>
      <c r="BB283">
        <v>-3.7</v>
      </c>
      <c r="BC283">
        <v>-3</v>
      </c>
      <c r="BD283">
        <v>-4.0999999999999996</v>
      </c>
      <c r="BE283">
        <v>-3.3</v>
      </c>
    </row>
    <row r="284" spans="1:57" x14ac:dyDescent="0.25">
      <c r="A284" t="s">
        <v>643</v>
      </c>
      <c r="B284">
        <v>150</v>
      </c>
      <c r="C284" t="s">
        <v>36</v>
      </c>
      <c r="D284">
        <v>3</v>
      </c>
      <c r="E284" t="s">
        <v>40</v>
      </c>
      <c r="F284" t="s">
        <v>382</v>
      </c>
      <c r="G284">
        <v>725</v>
      </c>
      <c r="H284">
        <v>0</v>
      </c>
      <c r="I284">
        <v>1</v>
      </c>
      <c r="J284">
        <v>1</v>
      </c>
      <c r="K284" t="s">
        <v>445</v>
      </c>
      <c r="L284" t="s">
        <v>786</v>
      </c>
      <c r="M284" t="s">
        <v>865</v>
      </c>
      <c r="N284">
        <v>1</v>
      </c>
      <c r="P284" t="s">
        <v>446</v>
      </c>
      <c r="Q284">
        <v>3.9</v>
      </c>
      <c r="R284">
        <v>7.0919999999999996</v>
      </c>
      <c r="S284">
        <v>11.2</v>
      </c>
      <c r="T284">
        <v>6.69</v>
      </c>
      <c r="U284">
        <v>3.9</v>
      </c>
      <c r="V284">
        <v>92.1</v>
      </c>
      <c r="W284">
        <v>88</v>
      </c>
      <c r="X284">
        <v>3.3</v>
      </c>
      <c r="Y284">
        <v>7.5</v>
      </c>
      <c r="Z284">
        <v>1.2</v>
      </c>
      <c r="AB284">
        <v>4.3</v>
      </c>
      <c r="AC284">
        <v>144</v>
      </c>
      <c r="AD284">
        <v>1.52</v>
      </c>
      <c r="AE284">
        <v>109</v>
      </c>
      <c r="AF284" t="s">
        <v>1054</v>
      </c>
      <c r="AG284">
        <v>4.2</v>
      </c>
      <c r="AI284">
        <v>7.9</v>
      </c>
      <c r="AJ284">
        <v>2.64</v>
      </c>
      <c r="AK284">
        <v>-4.0999999999999996</v>
      </c>
      <c r="AL284">
        <v>21.1</v>
      </c>
      <c r="AM284">
        <v>100.4</v>
      </c>
      <c r="AN284">
        <v>9.3000000000000007</v>
      </c>
      <c r="AO284">
        <v>13.6</v>
      </c>
      <c r="AP284">
        <v>8.4</v>
      </c>
      <c r="AQ284">
        <v>-3.9</v>
      </c>
      <c r="AR284">
        <v>1.29</v>
      </c>
      <c r="AS284">
        <v>25.7</v>
      </c>
      <c r="AT284">
        <v>59.9</v>
      </c>
      <c r="AU284">
        <v>63.4</v>
      </c>
      <c r="AV284">
        <v>19.3</v>
      </c>
      <c r="AW284">
        <v>7325</v>
      </c>
      <c r="AX284" t="s">
        <v>1055</v>
      </c>
      <c r="AY284" t="s">
        <v>1056</v>
      </c>
      <c r="AZ284">
        <v>337.6</v>
      </c>
      <c r="BA284">
        <v>80.900000000000006</v>
      </c>
      <c r="BB284">
        <v>-3.9</v>
      </c>
      <c r="BC284">
        <v>-4.0999999999999996</v>
      </c>
      <c r="BD284">
        <v>-4</v>
      </c>
      <c r="BE284">
        <v>-4.2</v>
      </c>
    </row>
    <row r="285" spans="1:57" x14ac:dyDescent="0.25">
      <c r="A285" t="s">
        <v>767</v>
      </c>
      <c r="B285">
        <v>152</v>
      </c>
      <c r="C285" t="s">
        <v>56</v>
      </c>
      <c r="D285">
        <v>3</v>
      </c>
      <c r="E285" t="s">
        <v>142</v>
      </c>
      <c r="F285" t="s">
        <v>382</v>
      </c>
      <c r="G285">
        <v>996</v>
      </c>
      <c r="H285">
        <v>1</v>
      </c>
      <c r="I285">
        <v>1</v>
      </c>
      <c r="J285">
        <v>0</v>
      </c>
      <c r="K285" t="s">
        <v>441</v>
      </c>
      <c r="L285" t="s">
        <v>786</v>
      </c>
      <c r="M285" t="s">
        <v>865</v>
      </c>
      <c r="N285">
        <v>1</v>
      </c>
      <c r="P285" t="s">
        <v>442</v>
      </c>
      <c r="Q285">
        <v>4.9000000000000004</v>
      </c>
      <c r="R285">
        <v>7.0830000000000002</v>
      </c>
      <c r="S285">
        <v>13.3</v>
      </c>
      <c r="T285">
        <v>5.14</v>
      </c>
      <c r="U285">
        <v>4.9000000000000004</v>
      </c>
      <c r="V285">
        <v>72.7</v>
      </c>
      <c r="W285">
        <v>70.2</v>
      </c>
      <c r="X285">
        <v>2.6</v>
      </c>
      <c r="Y285">
        <v>26.3</v>
      </c>
      <c r="Z285">
        <v>0.9</v>
      </c>
      <c r="AB285">
        <v>5.0999999999999996</v>
      </c>
      <c r="AC285">
        <v>149</v>
      </c>
      <c r="AD285">
        <v>1.3</v>
      </c>
      <c r="AE285">
        <v>108</v>
      </c>
      <c r="AF285" t="s">
        <v>926</v>
      </c>
      <c r="AG285">
        <v>3.3</v>
      </c>
      <c r="AI285">
        <v>7.8</v>
      </c>
      <c r="AJ285">
        <v>3.57</v>
      </c>
      <c r="AK285">
        <v>0</v>
      </c>
      <c r="AL285">
        <v>23.4</v>
      </c>
      <c r="AM285">
        <v>100.4</v>
      </c>
      <c r="AN285">
        <v>10.9</v>
      </c>
      <c r="AO285">
        <v>16</v>
      </c>
      <c r="AP285">
        <v>10.6</v>
      </c>
      <c r="AQ285">
        <v>-0.8</v>
      </c>
      <c r="AR285">
        <v>1.0900000000000001</v>
      </c>
      <c r="AS285">
        <v>29.9</v>
      </c>
      <c r="AT285">
        <v>69</v>
      </c>
      <c r="AU285">
        <v>73.900000000000006</v>
      </c>
      <c r="AV285">
        <v>24.2</v>
      </c>
      <c r="AW285">
        <v>7368</v>
      </c>
      <c r="AX285" t="s">
        <v>1057</v>
      </c>
      <c r="AY285" t="s">
        <v>1058</v>
      </c>
      <c r="AZ285">
        <v>302.89999999999998</v>
      </c>
      <c r="BA285">
        <v>82.5</v>
      </c>
      <c r="BB285">
        <v>-0.8</v>
      </c>
      <c r="BC285">
        <v>0</v>
      </c>
      <c r="BD285">
        <v>-1.2</v>
      </c>
      <c r="BE285">
        <v>-0.3</v>
      </c>
    </row>
    <row r="286" spans="1:57" x14ac:dyDescent="0.25">
      <c r="A286" t="s">
        <v>755</v>
      </c>
      <c r="B286">
        <v>151</v>
      </c>
      <c r="C286" t="s">
        <v>58</v>
      </c>
      <c r="D286">
        <v>3</v>
      </c>
      <c r="E286" t="s">
        <v>142</v>
      </c>
      <c r="F286" t="s">
        <v>383</v>
      </c>
      <c r="G286">
        <v>1175</v>
      </c>
      <c r="H286">
        <v>1</v>
      </c>
      <c r="I286">
        <v>1</v>
      </c>
      <c r="J286">
        <v>0</v>
      </c>
      <c r="K286" t="s">
        <v>443</v>
      </c>
      <c r="L286" t="s">
        <v>786</v>
      </c>
      <c r="M286" t="s">
        <v>865</v>
      </c>
      <c r="N286">
        <v>1</v>
      </c>
      <c r="P286" t="s">
        <v>444</v>
      </c>
      <c r="Q286">
        <v>2.9</v>
      </c>
      <c r="R286">
        <v>7.0860000000000003</v>
      </c>
      <c r="S286">
        <v>13.5</v>
      </c>
      <c r="T286">
        <v>5.78</v>
      </c>
      <c r="U286">
        <v>2.9</v>
      </c>
      <c r="V286">
        <v>73.7</v>
      </c>
      <c r="W286">
        <v>70.8</v>
      </c>
      <c r="X286">
        <v>3</v>
      </c>
      <c r="Y286">
        <v>25.2</v>
      </c>
      <c r="Z286">
        <v>1</v>
      </c>
      <c r="AB286">
        <v>5.4</v>
      </c>
      <c r="AC286">
        <v>138</v>
      </c>
      <c r="AD286">
        <v>1.46</v>
      </c>
      <c r="AE286">
        <v>100</v>
      </c>
      <c r="AF286" t="s">
        <v>675</v>
      </c>
      <c r="AG286">
        <v>1.9</v>
      </c>
      <c r="AI286">
        <v>4.7</v>
      </c>
      <c r="AJ286">
        <v>3.96</v>
      </c>
      <c r="AK286">
        <v>0.6</v>
      </c>
      <c r="AL286">
        <v>25.3</v>
      </c>
      <c r="AM286">
        <v>100.4</v>
      </c>
      <c r="AN286">
        <v>7.2</v>
      </c>
      <c r="AO286">
        <v>12.6</v>
      </c>
      <c r="AP286">
        <v>6.1</v>
      </c>
      <c r="AQ286">
        <v>1.2</v>
      </c>
      <c r="AR286">
        <v>1.23</v>
      </c>
      <c r="AS286">
        <v>30.5</v>
      </c>
      <c r="AT286">
        <v>72.5</v>
      </c>
      <c r="AU286">
        <v>75.400000000000006</v>
      </c>
      <c r="AV286">
        <v>14.1</v>
      </c>
      <c r="AW286">
        <v>7400</v>
      </c>
      <c r="AX286" t="s">
        <v>1059</v>
      </c>
      <c r="AY286" t="s">
        <v>1060</v>
      </c>
      <c r="AZ286">
        <v>281.2</v>
      </c>
      <c r="BA286">
        <v>82.1</v>
      </c>
      <c r="BB286">
        <v>1.2</v>
      </c>
      <c r="BC286">
        <v>0.6</v>
      </c>
      <c r="BD286">
        <v>0.9</v>
      </c>
      <c r="BE286">
        <v>0.4</v>
      </c>
    </row>
    <row r="287" spans="1:57" x14ac:dyDescent="0.25">
      <c r="A287" t="s">
        <v>799</v>
      </c>
      <c r="C287" t="s">
        <v>64</v>
      </c>
      <c r="D287">
        <v>1</v>
      </c>
      <c r="E287" t="s">
        <v>146</v>
      </c>
      <c r="F287" t="s">
        <v>60</v>
      </c>
      <c r="G287">
        <v>1314.8</v>
      </c>
      <c r="H287">
        <v>0</v>
      </c>
      <c r="I287">
        <v>1</v>
      </c>
      <c r="J287">
        <v>0</v>
      </c>
      <c r="K287" t="s">
        <v>1061</v>
      </c>
      <c r="L287" t="s">
        <v>1062</v>
      </c>
      <c r="M287" t="s">
        <v>1063</v>
      </c>
      <c r="N287">
        <v>1</v>
      </c>
      <c r="P287" t="s">
        <v>124</v>
      </c>
      <c r="Q287">
        <v>4.8</v>
      </c>
      <c r="R287">
        <v>6.8860000000000001</v>
      </c>
      <c r="S287">
        <v>26.1</v>
      </c>
      <c r="T287">
        <v>14.5</v>
      </c>
      <c r="U287">
        <v>4.8</v>
      </c>
      <c r="V287">
        <v>101.3</v>
      </c>
      <c r="W287">
        <v>97.2</v>
      </c>
      <c r="X287">
        <v>3</v>
      </c>
      <c r="Y287">
        <v>-1.2</v>
      </c>
      <c r="Z287">
        <v>1</v>
      </c>
      <c r="AB287">
        <v>4.5999999999999996</v>
      </c>
      <c r="AC287">
        <v>155</v>
      </c>
      <c r="AD287">
        <v>1.5</v>
      </c>
      <c r="AE287">
        <v>108</v>
      </c>
      <c r="AF287" t="s">
        <v>968</v>
      </c>
      <c r="AG287">
        <v>1.1000000000000001</v>
      </c>
      <c r="AI287">
        <v>10.7</v>
      </c>
      <c r="AJ287">
        <v>6.15</v>
      </c>
      <c r="AK287">
        <v>4</v>
      </c>
      <c r="AL287">
        <v>26.6</v>
      </c>
      <c r="AM287">
        <v>101</v>
      </c>
      <c r="AN287">
        <v>10.1</v>
      </c>
      <c r="AO287">
        <v>14.7</v>
      </c>
      <c r="AP287">
        <v>10.4</v>
      </c>
      <c r="AQ287">
        <v>2.4</v>
      </c>
      <c r="AR287">
        <v>1.1299999999999999</v>
      </c>
      <c r="AS287">
        <v>37.1</v>
      </c>
      <c r="AT287">
        <v>91.2</v>
      </c>
      <c r="AU287">
        <v>96.7</v>
      </c>
      <c r="AV287">
        <v>23.8</v>
      </c>
      <c r="AW287">
        <v>7386</v>
      </c>
      <c r="AX287" t="s">
        <v>42</v>
      </c>
      <c r="AY287" t="s">
        <v>42</v>
      </c>
      <c r="AZ287">
        <v>315.5</v>
      </c>
      <c r="BA287">
        <v>130.1</v>
      </c>
      <c r="BB287">
        <v>2.4</v>
      </c>
      <c r="BC287">
        <v>4</v>
      </c>
      <c r="BD287">
        <v>2.4</v>
      </c>
      <c r="BE287">
        <v>4</v>
      </c>
    </row>
    <row r="288" spans="1:57" x14ac:dyDescent="0.25">
      <c r="A288" t="s">
        <v>805</v>
      </c>
      <c r="C288" t="s">
        <v>43</v>
      </c>
      <c r="D288">
        <v>1</v>
      </c>
      <c r="E288" t="s">
        <v>146</v>
      </c>
      <c r="F288" t="s">
        <v>49</v>
      </c>
      <c r="G288">
        <v>1065.9000000000001</v>
      </c>
      <c r="H288">
        <v>0</v>
      </c>
      <c r="I288">
        <v>1</v>
      </c>
      <c r="J288">
        <v>0</v>
      </c>
      <c r="K288" t="s">
        <v>1093</v>
      </c>
      <c r="L288" t="s">
        <v>1065</v>
      </c>
      <c r="M288" t="s">
        <v>1063</v>
      </c>
      <c r="N288">
        <v>1</v>
      </c>
      <c r="P288" t="s">
        <v>125</v>
      </c>
      <c r="Q288">
        <v>5.0999999999999996</v>
      </c>
      <c r="R288">
        <v>7.1539999999999999</v>
      </c>
      <c r="S288">
        <v>11.7</v>
      </c>
      <c r="T288">
        <v>5.37</v>
      </c>
      <c r="U288">
        <v>5.0999999999999996</v>
      </c>
      <c r="V288">
        <v>77.2</v>
      </c>
      <c r="W288">
        <v>75.7</v>
      </c>
      <c r="X288">
        <v>1.4</v>
      </c>
      <c r="Y288">
        <v>22.4</v>
      </c>
      <c r="Z288">
        <v>0.5</v>
      </c>
      <c r="AB288">
        <v>4.2</v>
      </c>
      <c r="AC288">
        <v>172</v>
      </c>
      <c r="AD288">
        <v>0.96</v>
      </c>
      <c r="AE288">
        <v>119</v>
      </c>
      <c r="AF288" t="s">
        <v>1094</v>
      </c>
      <c r="AG288">
        <v>0.7</v>
      </c>
      <c r="AI288">
        <v>8.8000000000000007</v>
      </c>
      <c r="AJ288">
        <v>3.43</v>
      </c>
      <c r="AK288">
        <v>2</v>
      </c>
      <c r="AL288">
        <v>25.1</v>
      </c>
      <c r="AM288">
        <v>101</v>
      </c>
      <c r="AN288">
        <v>22.5</v>
      </c>
      <c r="AO288">
        <v>26.7</v>
      </c>
      <c r="AP288">
        <v>11.2</v>
      </c>
      <c r="AQ288">
        <v>1.1000000000000001</v>
      </c>
      <c r="AR288">
        <v>0.84</v>
      </c>
      <c r="AS288">
        <v>30.8</v>
      </c>
      <c r="AT288">
        <v>69.599999999999994</v>
      </c>
      <c r="AU288">
        <v>75.099999999999994</v>
      </c>
      <c r="AV288">
        <v>25.2</v>
      </c>
      <c r="AW288">
        <v>7402</v>
      </c>
      <c r="AX288" t="s">
        <v>1095</v>
      </c>
      <c r="AY288" t="s">
        <v>1096</v>
      </c>
      <c r="AZ288">
        <v>348.1</v>
      </c>
      <c r="BA288">
        <v>70.099999999999994</v>
      </c>
      <c r="BB288">
        <v>1.1000000000000001</v>
      </c>
      <c r="BC288">
        <v>2</v>
      </c>
      <c r="BD288">
        <v>0.7</v>
      </c>
      <c r="BE288">
        <v>1.8</v>
      </c>
    </row>
    <row r="289" spans="1:57" x14ac:dyDescent="0.25">
      <c r="A289" t="s">
        <v>837</v>
      </c>
      <c r="B289">
        <v>108</v>
      </c>
      <c r="C289" t="s">
        <v>47</v>
      </c>
      <c r="D289">
        <v>1</v>
      </c>
      <c r="E289" t="s">
        <v>146</v>
      </c>
      <c r="F289" t="s">
        <v>60</v>
      </c>
      <c r="G289">
        <v>1174</v>
      </c>
      <c r="H289">
        <v>0</v>
      </c>
      <c r="I289">
        <v>1</v>
      </c>
      <c r="J289">
        <v>0</v>
      </c>
      <c r="K289" t="s">
        <v>1089</v>
      </c>
      <c r="L289" t="s">
        <v>1065</v>
      </c>
      <c r="M289" t="s">
        <v>1063</v>
      </c>
      <c r="N289">
        <v>1</v>
      </c>
      <c r="P289" t="s">
        <v>126</v>
      </c>
      <c r="Q289">
        <v>5.2</v>
      </c>
      <c r="R289">
        <v>7.2629999999999999</v>
      </c>
      <c r="S289">
        <v>10.199999999999999</v>
      </c>
      <c r="T289">
        <v>10.8</v>
      </c>
      <c r="U289">
        <v>5.2</v>
      </c>
      <c r="V289">
        <v>98.7</v>
      </c>
      <c r="W289">
        <v>97</v>
      </c>
      <c r="X289">
        <v>1.2</v>
      </c>
      <c r="Y289">
        <v>1.3</v>
      </c>
      <c r="Z289">
        <v>0.5</v>
      </c>
      <c r="AB289">
        <v>4.7</v>
      </c>
      <c r="AC289">
        <v>144</v>
      </c>
      <c r="AD289">
        <v>1.34</v>
      </c>
      <c r="AE289">
        <v>104</v>
      </c>
      <c r="AF289" t="s">
        <v>1090</v>
      </c>
      <c r="AG289">
        <v>1.2</v>
      </c>
      <c r="AI289">
        <v>11.7</v>
      </c>
      <c r="AJ289">
        <v>3.46</v>
      </c>
      <c r="AK289">
        <v>7.4</v>
      </c>
      <c r="AL289">
        <v>30</v>
      </c>
      <c r="AM289">
        <v>101</v>
      </c>
      <c r="AN289">
        <v>5.3</v>
      </c>
      <c r="AO289">
        <v>10</v>
      </c>
      <c r="AP289">
        <v>11.6</v>
      </c>
      <c r="AQ289">
        <v>6.1</v>
      </c>
      <c r="AR289">
        <v>1.24</v>
      </c>
      <c r="AS289">
        <v>34.4</v>
      </c>
      <c r="AT289">
        <v>75.400000000000006</v>
      </c>
      <c r="AU289">
        <v>82.4</v>
      </c>
      <c r="AV289">
        <v>25.9</v>
      </c>
      <c r="AW289">
        <v>7476</v>
      </c>
      <c r="AX289" t="s">
        <v>1091</v>
      </c>
      <c r="AY289" t="s">
        <v>1092</v>
      </c>
      <c r="AZ289">
        <v>292.60000000000002</v>
      </c>
      <c r="BA289">
        <v>54.6</v>
      </c>
      <c r="BB289">
        <v>6.1</v>
      </c>
      <c r="BC289">
        <v>7.4</v>
      </c>
      <c r="BD289">
        <v>6.1</v>
      </c>
      <c r="BE289">
        <v>7.4</v>
      </c>
    </row>
    <row r="290" spans="1:57" x14ac:dyDescent="0.25">
      <c r="A290" t="s">
        <v>650</v>
      </c>
      <c r="B290">
        <v>105</v>
      </c>
      <c r="C290" t="s">
        <v>49</v>
      </c>
      <c r="D290">
        <v>1</v>
      </c>
      <c r="E290" t="s">
        <v>40</v>
      </c>
      <c r="F290" t="s">
        <v>49</v>
      </c>
      <c r="G290">
        <v>1038.5</v>
      </c>
      <c r="H290">
        <v>0</v>
      </c>
      <c r="I290">
        <v>1</v>
      </c>
      <c r="J290">
        <v>1</v>
      </c>
      <c r="K290" t="s">
        <v>1074</v>
      </c>
      <c r="L290" t="s">
        <v>1065</v>
      </c>
      <c r="M290" t="s">
        <v>1063</v>
      </c>
      <c r="N290">
        <v>1</v>
      </c>
      <c r="P290" t="s">
        <v>127</v>
      </c>
      <c r="Q290">
        <v>3.4</v>
      </c>
      <c r="R290">
        <v>6.8390000000000004</v>
      </c>
      <c r="S290">
        <v>9.4499999999999993</v>
      </c>
      <c r="T290">
        <v>5.31</v>
      </c>
      <c r="U290">
        <v>3.4</v>
      </c>
      <c r="V290">
        <v>66.900000000000006</v>
      </c>
      <c r="W290">
        <v>64.2</v>
      </c>
      <c r="X290">
        <v>2.2999999999999998</v>
      </c>
      <c r="Y290">
        <v>31.8</v>
      </c>
      <c r="Z290">
        <v>1.7</v>
      </c>
      <c r="AB290">
        <v>7.1</v>
      </c>
      <c r="AC290">
        <v>166</v>
      </c>
      <c r="AD290">
        <v>1.21</v>
      </c>
      <c r="AE290">
        <v>127</v>
      </c>
      <c r="AF290" t="s">
        <v>1075</v>
      </c>
      <c r="AG290">
        <v>21</v>
      </c>
      <c r="AI290">
        <v>5</v>
      </c>
      <c r="AJ290">
        <v>4.0999999999999996</v>
      </c>
      <c r="AK290">
        <v>-21.8</v>
      </c>
      <c r="AL290">
        <v>9.1</v>
      </c>
      <c r="AM290">
        <v>101</v>
      </c>
      <c r="AN290">
        <v>27.5</v>
      </c>
      <c r="AO290">
        <v>34.6</v>
      </c>
      <c r="AP290">
        <v>7.3</v>
      </c>
      <c r="AQ290">
        <v>-19.8</v>
      </c>
      <c r="AR290">
        <v>0.88</v>
      </c>
      <c r="AS290">
        <v>12.1</v>
      </c>
      <c r="AT290">
        <v>30.8</v>
      </c>
      <c r="AU290">
        <v>31.9</v>
      </c>
      <c r="AV290">
        <v>16.8</v>
      </c>
      <c r="AW290">
        <v>6986</v>
      </c>
      <c r="AX290" t="s">
        <v>1076</v>
      </c>
      <c r="AY290" t="s">
        <v>1077</v>
      </c>
      <c r="AZ290">
        <v>381.1</v>
      </c>
      <c r="BA290">
        <v>144.80000000000001</v>
      </c>
      <c r="BB290">
        <v>-19.8</v>
      </c>
      <c r="BC290">
        <v>-21.8</v>
      </c>
      <c r="BD290">
        <v>-20.2</v>
      </c>
      <c r="BE290">
        <v>-22.1</v>
      </c>
    </row>
    <row r="291" spans="1:57" x14ac:dyDescent="0.25">
      <c r="A291" t="s">
        <v>842</v>
      </c>
      <c r="B291">
        <v>106</v>
      </c>
      <c r="C291" t="s">
        <v>51</v>
      </c>
      <c r="D291">
        <v>1</v>
      </c>
      <c r="E291" t="s">
        <v>146</v>
      </c>
      <c r="F291" t="s">
        <v>49</v>
      </c>
      <c r="G291">
        <v>932.1</v>
      </c>
      <c r="H291">
        <v>0</v>
      </c>
      <c r="I291">
        <v>1</v>
      </c>
      <c r="J291">
        <v>0</v>
      </c>
      <c r="K291" t="s">
        <v>1097</v>
      </c>
      <c r="L291" t="s">
        <v>1065</v>
      </c>
      <c r="M291" t="s">
        <v>1063</v>
      </c>
      <c r="N291">
        <v>1</v>
      </c>
      <c r="P291" t="s">
        <v>128</v>
      </c>
      <c r="Q291">
        <v>3.8</v>
      </c>
      <c r="R291">
        <v>7.0010000000000003</v>
      </c>
      <c r="S291">
        <v>13.9</v>
      </c>
      <c r="T291">
        <v>6.11</v>
      </c>
      <c r="U291">
        <v>3.8</v>
      </c>
      <c r="V291">
        <v>72.099999999999994</v>
      </c>
      <c r="W291">
        <v>69.3</v>
      </c>
      <c r="X291">
        <v>2.6</v>
      </c>
      <c r="Y291">
        <v>26.8</v>
      </c>
      <c r="Z291">
        <v>1.3</v>
      </c>
      <c r="AB291">
        <v>7</v>
      </c>
      <c r="AC291">
        <v>122</v>
      </c>
      <c r="AD291">
        <v>1.32</v>
      </c>
      <c r="AE291">
        <v>87</v>
      </c>
      <c r="AF291" t="s">
        <v>868</v>
      </c>
      <c r="AG291">
        <v>2.2999999999999998</v>
      </c>
      <c r="AI291">
        <v>6.1</v>
      </c>
      <c r="AJ291">
        <v>4.34</v>
      </c>
      <c r="AK291">
        <v>-5.5</v>
      </c>
      <c r="AL291">
        <v>19.8</v>
      </c>
      <c r="AM291">
        <v>101</v>
      </c>
      <c r="AN291">
        <v>9.6999999999999993</v>
      </c>
      <c r="AO291">
        <v>16.7</v>
      </c>
      <c r="AP291">
        <v>8.3000000000000007</v>
      </c>
      <c r="AQ291">
        <v>-5.2</v>
      </c>
      <c r="AR291">
        <v>1.06</v>
      </c>
      <c r="AS291">
        <v>25.7</v>
      </c>
      <c r="AT291">
        <v>61.8</v>
      </c>
      <c r="AU291">
        <v>64.900000000000006</v>
      </c>
      <c r="AV291">
        <v>19</v>
      </c>
      <c r="AW291">
        <v>7295</v>
      </c>
      <c r="AX291" t="s">
        <v>1098</v>
      </c>
      <c r="AY291" t="s">
        <v>1099</v>
      </c>
      <c r="AZ291">
        <v>281.10000000000002</v>
      </c>
      <c r="BA291">
        <v>99.7</v>
      </c>
      <c r="BB291">
        <v>-5.2</v>
      </c>
      <c r="BC291">
        <v>-5.5</v>
      </c>
      <c r="BD291">
        <v>-5.5</v>
      </c>
      <c r="BE291">
        <v>-5.8</v>
      </c>
    </row>
    <row r="292" spans="1:57" x14ac:dyDescent="0.25">
      <c r="A292" t="s">
        <v>617</v>
      </c>
      <c r="B292">
        <v>111</v>
      </c>
      <c r="C292" t="s">
        <v>53</v>
      </c>
      <c r="D292">
        <v>1</v>
      </c>
      <c r="E292" t="s">
        <v>54</v>
      </c>
      <c r="F292" t="s">
        <v>60</v>
      </c>
      <c r="G292">
        <v>1165</v>
      </c>
      <c r="H292">
        <v>0</v>
      </c>
      <c r="I292">
        <v>0</v>
      </c>
      <c r="J292">
        <v>1</v>
      </c>
      <c r="K292" t="s">
        <v>1068</v>
      </c>
      <c r="L292" t="s">
        <v>1065</v>
      </c>
      <c r="M292" t="s">
        <v>1063</v>
      </c>
      <c r="N292">
        <v>1</v>
      </c>
      <c r="P292" t="s">
        <v>129</v>
      </c>
      <c r="Q292">
        <v>4.8</v>
      </c>
      <c r="R292">
        <v>7.4420000000000002</v>
      </c>
      <c r="S292">
        <v>6.02</v>
      </c>
      <c r="T292">
        <v>6.79</v>
      </c>
      <c r="U292">
        <v>4.8</v>
      </c>
      <c r="V292">
        <v>100.5</v>
      </c>
      <c r="W292">
        <v>96.7</v>
      </c>
      <c r="X292">
        <v>3</v>
      </c>
      <c r="Y292">
        <v>-0.5</v>
      </c>
      <c r="Z292">
        <v>0.8</v>
      </c>
      <c r="AB292">
        <v>3.2</v>
      </c>
      <c r="AC292">
        <v>143</v>
      </c>
      <c r="AD292">
        <v>1.56</v>
      </c>
      <c r="AE292">
        <v>104</v>
      </c>
      <c r="AF292" t="s">
        <v>1069</v>
      </c>
      <c r="AG292">
        <v>1</v>
      </c>
      <c r="AI292">
        <v>10.5</v>
      </c>
      <c r="AJ292">
        <v>3.3</v>
      </c>
      <c r="AK292">
        <v>6.7</v>
      </c>
      <c r="AL292">
        <v>30</v>
      </c>
      <c r="AM292">
        <v>101</v>
      </c>
      <c r="AN292">
        <v>8.4</v>
      </c>
      <c r="AO292">
        <v>11.6</v>
      </c>
      <c r="AP292">
        <v>10.3</v>
      </c>
      <c r="AQ292">
        <v>6.1</v>
      </c>
      <c r="AR292">
        <v>1.6</v>
      </c>
      <c r="AS292">
        <v>30.8</v>
      </c>
      <c r="AT292">
        <v>66</v>
      </c>
      <c r="AU292">
        <v>72.099999999999994</v>
      </c>
      <c r="AV292">
        <v>23.6</v>
      </c>
      <c r="AW292">
        <v>7483</v>
      </c>
      <c r="AX292" t="s">
        <v>1069</v>
      </c>
      <c r="AY292" t="s">
        <v>1070</v>
      </c>
      <c r="AZ292">
        <v>300.10000000000002</v>
      </c>
      <c r="BA292">
        <v>36.1</v>
      </c>
      <c r="BB292">
        <v>6.1</v>
      </c>
      <c r="BC292">
        <v>6.7</v>
      </c>
      <c r="BD292">
        <v>6.1</v>
      </c>
      <c r="BE292">
        <v>6.7</v>
      </c>
    </row>
    <row r="293" spans="1:57" x14ac:dyDescent="0.25">
      <c r="A293" t="s">
        <v>691</v>
      </c>
      <c r="B293">
        <v>107</v>
      </c>
      <c r="C293" t="s">
        <v>56</v>
      </c>
      <c r="D293">
        <v>1</v>
      </c>
      <c r="E293" t="s">
        <v>40</v>
      </c>
      <c r="F293" t="s">
        <v>60</v>
      </c>
      <c r="G293">
        <v>1075</v>
      </c>
      <c r="H293">
        <v>0</v>
      </c>
      <c r="I293">
        <v>1</v>
      </c>
      <c r="J293">
        <v>1</v>
      </c>
      <c r="K293" t="s">
        <v>1071</v>
      </c>
      <c r="L293" t="s">
        <v>1065</v>
      </c>
      <c r="M293" t="s">
        <v>1063</v>
      </c>
      <c r="N293">
        <v>1</v>
      </c>
      <c r="P293" t="s">
        <v>130</v>
      </c>
      <c r="Q293">
        <v>4.4000000000000004</v>
      </c>
      <c r="R293">
        <v>7.2949999999999999</v>
      </c>
      <c r="S293">
        <v>7.61</v>
      </c>
      <c r="T293">
        <v>25.9</v>
      </c>
      <c r="U293">
        <v>4.4000000000000004</v>
      </c>
      <c r="V293">
        <v>105.2</v>
      </c>
      <c r="W293">
        <v>101.1</v>
      </c>
      <c r="X293">
        <v>2.6</v>
      </c>
      <c r="Y293">
        <v>-5</v>
      </c>
      <c r="Z293">
        <v>1.3</v>
      </c>
      <c r="AB293">
        <v>3.7</v>
      </c>
      <c r="AC293">
        <v>172</v>
      </c>
      <c r="AD293">
        <v>1.02</v>
      </c>
      <c r="AE293">
        <v>124</v>
      </c>
      <c r="AF293" t="s">
        <v>1072</v>
      </c>
      <c r="AG293">
        <v>1.4</v>
      </c>
      <c r="AK293">
        <v>1.2</v>
      </c>
      <c r="AM293">
        <v>101</v>
      </c>
      <c r="AN293">
        <v>20.3</v>
      </c>
      <c r="AO293">
        <v>24</v>
      </c>
      <c r="AP293">
        <v>9.6</v>
      </c>
      <c r="AQ293">
        <v>0.9</v>
      </c>
      <c r="AR293">
        <v>0.96</v>
      </c>
      <c r="AS293">
        <v>27.7</v>
      </c>
      <c r="AU293">
        <v>66.099999999999994</v>
      </c>
      <c r="AV293">
        <v>22</v>
      </c>
      <c r="AW293">
        <v>7410</v>
      </c>
      <c r="AX293" t="s">
        <v>849</v>
      </c>
      <c r="AY293" t="s">
        <v>1073</v>
      </c>
      <c r="AZ293">
        <v>377.9</v>
      </c>
      <c r="BA293">
        <v>50.7</v>
      </c>
      <c r="BB293">
        <v>0.9</v>
      </c>
      <c r="BC293">
        <v>1.2</v>
      </c>
    </row>
    <row r="294" spans="1:57" x14ac:dyDescent="0.25">
      <c r="A294" t="s">
        <v>711</v>
      </c>
      <c r="C294" t="s">
        <v>82</v>
      </c>
      <c r="D294">
        <v>1</v>
      </c>
      <c r="E294" t="s">
        <v>71</v>
      </c>
      <c r="F294" t="s">
        <v>60</v>
      </c>
      <c r="G294">
        <v>1206.8</v>
      </c>
      <c r="H294">
        <v>0</v>
      </c>
      <c r="I294">
        <v>0</v>
      </c>
      <c r="J294">
        <v>0</v>
      </c>
      <c r="K294" t="s">
        <v>1078</v>
      </c>
      <c r="L294" t="s">
        <v>1065</v>
      </c>
      <c r="M294" t="s">
        <v>1063</v>
      </c>
      <c r="N294">
        <v>1</v>
      </c>
      <c r="P294" t="s">
        <v>131</v>
      </c>
      <c r="Q294">
        <v>2.2999999999999998</v>
      </c>
      <c r="R294">
        <v>7.4649999999999999</v>
      </c>
      <c r="S294">
        <v>5.31</v>
      </c>
      <c r="T294">
        <v>22.6</v>
      </c>
      <c r="U294">
        <v>2.2999999999999998</v>
      </c>
      <c r="V294">
        <v>105.8</v>
      </c>
      <c r="W294">
        <v>100.9</v>
      </c>
      <c r="X294">
        <v>3.3</v>
      </c>
      <c r="Y294">
        <v>-5.5</v>
      </c>
      <c r="Z294">
        <v>1.3</v>
      </c>
      <c r="AB294">
        <v>4.5999999999999996</v>
      </c>
      <c r="AC294">
        <v>140</v>
      </c>
      <c r="AD294">
        <v>1.54</v>
      </c>
      <c r="AE294">
        <v>101</v>
      </c>
      <c r="AF294" t="s">
        <v>1079</v>
      </c>
      <c r="AG294">
        <v>1.8</v>
      </c>
      <c r="AK294">
        <v>4.9000000000000004</v>
      </c>
      <c r="AM294">
        <v>101</v>
      </c>
      <c r="AN294">
        <v>11</v>
      </c>
      <c r="AO294">
        <v>15.6</v>
      </c>
      <c r="AP294">
        <v>4.9000000000000004</v>
      </c>
      <c r="AQ294">
        <v>4.4000000000000004</v>
      </c>
      <c r="AR294">
        <v>1.59</v>
      </c>
      <c r="AS294">
        <v>28.6</v>
      </c>
      <c r="AU294">
        <v>66.900000000000006</v>
      </c>
      <c r="AV294">
        <v>11.3</v>
      </c>
      <c r="AW294">
        <v>7463</v>
      </c>
      <c r="AX294" t="s">
        <v>869</v>
      </c>
      <c r="AY294" t="s">
        <v>1080</v>
      </c>
      <c r="AZ294">
        <v>286.8</v>
      </c>
      <c r="BA294">
        <v>34.299999999999997</v>
      </c>
      <c r="BB294">
        <v>4.4000000000000004</v>
      </c>
      <c r="BC294">
        <v>4.9000000000000004</v>
      </c>
    </row>
    <row r="295" spans="1:57" x14ac:dyDescent="0.25">
      <c r="A295" t="s">
        <v>626</v>
      </c>
      <c r="B295">
        <v>113</v>
      </c>
      <c r="C295" t="s">
        <v>58</v>
      </c>
      <c r="D295">
        <v>1</v>
      </c>
      <c r="E295" t="s">
        <v>54</v>
      </c>
      <c r="F295" t="s">
        <v>49</v>
      </c>
      <c r="G295">
        <v>1129</v>
      </c>
      <c r="H295">
        <v>0</v>
      </c>
      <c r="I295">
        <v>0</v>
      </c>
      <c r="J295">
        <v>1</v>
      </c>
      <c r="K295" t="s">
        <v>1064</v>
      </c>
      <c r="L295" t="s">
        <v>1065</v>
      </c>
      <c r="M295" t="s">
        <v>1063</v>
      </c>
      <c r="N295">
        <v>1</v>
      </c>
      <c r="P295" t="s">
        <v>132</v>
      </c>
      <c r="Q295">
        <v>5.0999999999999996</v>
      </c>
      <c r="R295">
        <v>7.4459999999999997</v>
      </c>
      <c r="S295">
        <v>5.89</v>
      </c>
      <c r="T295">
        <v>33.299999999999997</v>
      </c>
      <c r="U295">
        <v>5.0999999999999996</v>
      </c>
      <c r="V295">
        <v>101.6</v>
      </c>
      <c r="W295">
        <v>100.1</v>
      </c>
      <c r="X295">
        <v>0.8</v>
      </c>
      <c r="Y295">
        <v>-1.6</v>
      </c>
      <c r="Z295">
        <v>0.7</v>
      </c>
      <c r="AB295">
        <v>3.5</v>
      </c>
      <c r="AC295">
        <v>143</v>
      </c>
      <c r="AD295">
        <v>1.51</v>
      </c>
      <c r="AE295">
        <v>105</v>
      </c>
      <c r="AF295" t="s">
        <v>1066</v>
      </c>
      <c r="AG295">
        <v>1.4</v>
      </c>
      <c r="AI295">
        <v>12</v>
      </c>
      <c r="AJ295">
        <v>2.76</v>
      </c>
      <c r="AK295">
        <v>6.3</v>
      </c>
      <c r="AL295">
        <v>29.7</v>
      </c>
      <c r="AM295">
        <v>101</v>
      </c>
      <c r="AN295">
        <v>8.3000000000000007</v>
      </c>
      <c r="AO295">
        <v>11.8</v>
      </c>
      <c r="AP295">
        <v>11.2</v>
      </c>
      <c r="AQ295">
        <v>5.7</v>
      </c>
      <c r="AR295">
        <v>1.55</v>
      </c>
      <c r="AS295">
        <v>30.4</v>
      </c>
      <c r="AT295">
        <v>64.7</v>
      </c>
      <c r="AU295">
        <v>71.099999999999994</v>
      </c>
      <c r="AV295">
        <v>25</v>
      </c>
      <c r="AW295">
        <v>7479</v>
      </c>
      <c r="AX295" t="s">
        <v>964</v>
      </c>
      <c r="AY295" t="s">
        <v>1067</v>
      </c>
      <c r="AZ295">
        <v>302.39999999999998</v>
      </c>
      <c r="BA295">
        <v>35.799999999999997</v>
      </c>
      <c r="BB295">
        <v>5.7</v>
      </c>
      <c r="BC295">
        <v>6.3</v>
      </c>
      <c r="BD295">
        <v>5.7</v>
      </c>
      <c r="BE295">
        <v>6.3</v>
      </c>
    </row>
    <row r="296" spans="1:57" x14ac:dyDescent="0.25">
      <c r="A296" t="s">
        <v>779</v>
      </c>
      <c r="B296">
        <v>114</v>
      </c>
      <c r="C296" t="s">
        <v>60</v>
      </c>
      <c r="D296">
        <v>1</v>
      </c>
      <c r="E296" t="s">
        <v>142</v>
      </c>
      <c r="F296" t="s">
        <v>49</v>
      </c>
      <c r="G296">
        <v>1191</v>
      </c>
      <c r="H296">
        <v>1</v>
      </c>
      <c r="I296">
        <v>1</v>
      </c>
      <c r="J296">
        <v>0</v>
      </c>
      <c r="K296" t="s">
        <v>1086</v>
      </c>
      <c r="L296" t="s">
        <v>1065</v>
      </c>
      <c r="M296" t="s">
        <v>1063</v>
      </c>
      <c r="N296">
        <v>1</v>
      </c>
      <c r="P296" t="s">
        <v>133</v>
      </c>
      <c r="Q296">
        <v>4.5999999999999996</v>
      </c>
      <c r="R296">
        <v>7.1349999999999998</v>
      </c>
      <c r="S296">
        <v>13.6</v>
      </c>
      <c r="T296">
        <v>16</v>
      </c>
      <c r="U296">
        <v>4.5999999999999996</v>
      </c>
      <c r="V296">
        <v>104.3</v>
      </c>
      <c r="W296">
        <v>100.3</v>
      </c>
      <c r="X296">
        <v>2.9</v>
      </c>
      <c r="Y296">
        <v>-4.0999999999999996</v>
      </c>
      <c r="Z296">
        <v>0.9</v>
      </c>
      <c r="AB296">
        <v>4.8</v>
      </c>
      <c r="AC296">
        <v>139</v>
      </c>
      <c r="AD296">
        <v>1.43</v>
      </c>
      <c r="AE296">
        <v>98</v>
      </c>
      <c r="AF296" t="s">
        <v>802</v>
      </c>
      <c r="AG296">
        <v>0.4</v>
      </c>
      <c r="AK296">
        <v>5.3</v>
      </c>
      <c r="AM296">
        <v>101</v>
      </c>
      <c r="AN296">
        <v>6.4</v>
      </c>
      <c r="AO296">
        <v>11.2</v>
      </c>
      <c r="AP296">
        <v>10</v>
      </c>
      <c r="AQ296">
        <v>4.3</v>
      </c>
      <c r="AR296">
        <v>1.24</v>
      </c>
      <c r="AS296">
        <v>34.4</v>
      </c>
      <c r="AU296">
        <v>84.1</v>
      </c>
      <c r="AV296">
        <v>22.9</v>
      </c>
      <c r="AW296">
        <v>7443</v>
      </c>
      <c r="AX296" t="s">
        <v>1087</v>
      </c>
      <c r="AY296" t="s">
        <v>1088</v>
      </c>
      <c r="AZ296">
        <v>283.3</v>
      </c>
      <c r="BA296">
        <v>73.2</v>
      </c>
      <c r="BB296">
        <v>4.3</v>
      </c>
      <c r="BC296">
        <v>5.3</v>
      </c>
    </row>
    <row r="297" spans="1:57" x14ac:dyDescent="0.25">
      <c r="A297" t="s">
        <v>775</v>
      </c>
      <c r="B297">
        <v>104</v>
      </c>
      <c r="C297" t="s">
        <v>68</v>
      </c>
      <c r="D297">
        <v>1</v>
      </c>
      <c r="E297" t="s">
        <v>142</v>
      </c>
      <c r="F297" t="s">
        <v>49</v>
      </c>
      <c r="G297">
        <v>988.2</v>
      </c>
      <c r="H297">
        <v>1</v>
      </c>
      <c r="I297">
        <v>1</v>
      </c>
      <c r="J297">
        <v>0</v>
      </c>
      <c r="K297" t="s">
        <v>1084</v>
      </c>
      <c r="L297" t="s">
        <v>1065</v>
      </c>
      <c r="M297" t="s">
        <v>1063</v>
      </c>
      <c r="N297">
        <v>1</v>
      </c>
      <c r="P297" t="s">
        <v>134</v>
      </c>
      <c r="Q297">
        <v>2.9</v>
      </c>
      <c r="R297">
        <v>6.633</v>
      </c>
      <c r="S297">
        <v>17.8</v>
      </c>
      <c r="T297">
        <v>3.17</v>
      </c>
      <c r="U297">
        <v>2.9</v>
      </c>
      <c r="V297">
        <v>24.3</v>
      </c>
      <c r="W297">
        <v>23.5</v>
      </c>
      <c r="X297">
        <v>1.4</v>
      </c>
      <c r="Y297">
        <v>73.2</v>
      </c>
      <c r="Z297">
        <v>1.9</v>
      </c>
      <c r="AB297">
        <v>7.7</v>
      </c>
      <c r="AC297">
        <v>145</v>
      </c>
      <c r="AD297">
        <v>1.53</v>
      </c>
      <c r="AE297">
        <v>109</v>
      </c>
      <c r="AF297" t="s">
        <v>1085</v>
      </c>
      <c r="AG297">
        <v>20</v>
      </c>
      <c r="AI297">
        <v>1.6</v>
      </c>
      <c r="AJ297">
        <v>4.9400000000000004</v>
      </c>
      <c r="AK297">
        <v>-23.1</v>
      </c>
      <c r="AL297">
        <v>8.4</v>
      </c>
      <c r="AM297">
        <v>101</v>
      </c>
      <c r="AN297">
        <v>22.2</v>
      </c>
      <c r="AO297">
        <v>29.9</v>
      </c>
      <c r="AP297">
        <v>6.3</v>
      </c>
      <c r="AQ297">
        <v>-20.3</v>
      </c>
      <c r="AR297">
        <v>1</v>
      </c>
      <c r="AS297">
        <v>14.1</v>
      </c>
      <c r="AT297">
        <v>40</v>
      </c>
      <c r="AU297">
        <v>40.700000000000003</v>
      </c>
      <c r="AV297">
        <v>14.3</v>
      </c>
      <c r="AW297">
        <v>6943</v>
      </c>
      <c r="AX297" t="s">
        <v>42</v>
      </c>
      <c r="AY297" t="s">
        <v>42</v>
      </c>
      <c r="AZ297">
        <v>291.39999999999998</v>
      </c>
      <c r="BA297">
        <v>233</v>
      </c>
      <c r="BB297">
        <v>-20.3</v>
      </c>
      <c r="BC297">
        <v>-23.1</v>
      </c>
      <c r="BD297">
        <v>-21</v>
      </c>
      <c r="BE297">
        <v>-23.8</v>
      </c>
    </row>
    <row r="298" spans="1:57" x14ac:dyDescent="0.25">
      <c r="A298" t="s">
        <v>716</v>
      </c>
      <c r="B298">
        <v>112</v>
      </c>
      <c r="C298" t="s">
        <v>70</v>
      </c>
      <c r="D298">
        <v>1</v>
      </c>
      <c r="E298" t="s">
        <v>71</v>
      </c>
      <c r="F298" t="s">
        <v>49</v>
      </c>
      <c r="G298">
        <v>1004</v>
      </c>
      <c r="H298">
        <v>0</v>
      </c>
      <c r="I298">
        <v>0</v>
      </c>
      <c r="J298">
        <v>0</v>
      </c>
      <c r="K298" t="s">
        <v>1081</v>
      </c>
      <c r="L298" t="s">
        <v>1065</v>
      </c>
      <c r="M298" t="s">
        <v>1063</v>
      </c>
      <c r="N298">
        <v>1</v>
      </c>
      <c r="P298" t="s">
        <v>135</v>
      </c>
      <c r="Q298">
        <v>5.9</v>
      </c>
      <c r="R298">
        <v>7.4729999999999999</v>
      </c>
      <c r="S298">
        <v>5.99</v>
      </c>
      <c r="T298">
        <v>18.100000000000001</v>
      </c>
      <c r="U298">
        <v>5.9</v>
      </c>
      <c r="V298">
        <v>100.6</v>
      </c>
      <c r="W298">
        <v>99.8</v>
      </c>
      <c r="X298">
        <v>0.6</v>
      </c>
      <c r="Y298">
        <v>-0.6</v>
      </c>
      <c r="Z298">
        <v>0.2</v>
      </c>
      <c r="AB298">
        <v>3.9</v>
      </c>
      <c r="AC298">
        <v>149</v>
      </c>
      <c r="AD298">
        <v>1.4</v>
      </c>
      <c r="AE298">
        <v>107</v>
      </c>
      <c r="AF298" t="s">
        <v>954</v>
      </c>
      <c r="AG298">
        <v>1.4</v>
      </c>
      <c r="AI298">
        <v>13.4</v>
      </c>
      <c r="AJ298">
        <v>2.65</v>
      </c>
      <c r="AK298">
        <v>9.3000000000000007</v>
      </c>
      <c r="AL298">
        <v>32.200000000000003</v>
      </c>
      <c r="AM298">
        <v>101</v>
      </c>
      <c r="AN298">
        <v>8.3000000000000007</v>
      </c>
      <c r="AO298">
        <v>12.2</v>
      </c>
      <c r="AP298">
        <v>13</v>
      </c>
      <c r="AQ298">
        <v>8.3000000000000007</v>
      </c>
      <c r="AR298">
        <v>1.46</v>
      </c>
      <c r="AS298">
        <v>32.9</v>
      </c>
      <c r="AT298">
        <v>68.7</v>
      </c>
      <c r="AU298">
        <v>76.8</v>
      </c>
      <c r="AV298">
        <v>28.9</v>
      </c>
      <c r="AW298">
        <v>7512</v>
      </c>
      <c r="AX298" t="s">
        <v>1082</v>
      </c>
      <c r="AY298" t="s">
        <v>1083</v>
      </c>
      <c r="AZ298">
        <v>299.10000000000002</v>
      </c>
      <c r="BA298">
        <v>33.700000000000003</v>
      </c>
      <c r="BB298">
        <v>8.3000000000000007</v>
      </c>
      <c r="BC298">
        <v>9.3000000000000007</v>
      </c>
      <c r="BD298">
        <v>8.3000000000000007</v>
      </c>
      <c r="BE298">
        <v>9.3000000000000007</v>
      </c>
    </row>
    <row r="299" spans="1:57" x14ac:dyDescent="0.25">
      <c r="A299" t="s">
        <v>782</v>
      </c>
      <c r="B299">
        <v>123</v>
      </c>
      <c r="C299" t="s">
        <v>39</v>
      </c>
      <c r="D299">
        <v>2</v>
      </c>
      <c r="E299" t="s">
        <v>142</v>
      </c>
      <c r="F299" t="s">
        <v>382</v>
      </c>
      <c r="G299">
        <v>1015</v>
      </c>
      <c r="H299">
        <v>1</v>
      </c>
      <c r="I299">
        <v>1</v>
      </c>
      <c r="J299">
        <v>0</v>
      </c>
      <c r="K299" t="s">
        <v>177</v>
      </c>
      <c r="L299" t="s">
        <v>1100</v>
      </c>
      <c r="M299" t="s">
        <v>1063</v>
      </c>
      <c r="N299">
        <v>1</v>
      </c>
      <c r="P299" t="s">
        <v>241</v>
      </c>
      <c r="Q299">
        <v>5.3</v>
      </c>
      <c r="R299">
        <v>6.9829999999999997</v>
      </c>
      <c r="S299">
        <v>8.86</v>
      </c>
      <c r="T299">
        <v>3.15</v>
      </c>
      <c r="U299">
        <v>5.3</v>
      </c>
      <c r="V299">
        <v>31.9</v>
      </c>
      <c r="W299">
        <v>31.1</v>
      </c>
      <c r="X299">
        <v>1.4</v>
      </c>
      <c r="Y299">
        <v>66.400000000000006</v>
      </c>
      <c r="Z299">
        <v>1.1000000000000001</v>
      </c>
      <c r="AB299">
        <v>4.8</v>
      </c>
      <c r="AC299">
        <v>151</v>
      </c>
      <c r="AD299">
        <v>1.44</v>
      </c>
      <c r="AE299">
        <v>109</v>
      </c>
      <c r="AF299" t="s">
        <v>963</v>
      </c>
      <c r="AG299">
        <v>13.3</v>
      </c>
      <c r="AI299">
        <v>3.8</v>
      </c>
      <c r="AJ299">
        <v>4.2300000000000004</v>
      </c>
      <c r="AK299">
        <v>-15.8</v>
      </c>
      <c r="AL299">
        <v>11.9</v>
      </c>
      <c r="AM299">
        <v>100.6</v>
      </c>
      <c r="AN299">
        <v>25.5</v>
      </c>
      <c r="AO299">
        <v>30.3</v>
      </c>
      <c r="AP299">
        <v>11.6</v>
      </c>
      <c r="AQ299">
        <v>-15.3</v>
      </c>
      <c r="AR299">
        <v>1.1399999999999999</v>
      </c>
      <c r="AS299">
        <v>15.7</v>
      </c>
      <c r="AT299">
        <v>37.6</v>
      </c>
      <c r="AU299">
        <v>39.9</v>
      </c>
      <c r="AV299">
        <v>26.2</v>
      </c>
      <c r="AW299">
        <v>7111</v>
      </c>
      <c r="AX299" t="s">
        <v>1143</v>
      </c>
      <c r="AY299" t="s">
        <v>807</v>
      </c>
      <c r="AZ299">
        <v>304.39999999999998</v>
      </c>
      <c r="BA299">
        <v>104</v>
      </c>
      <c r="BB299">
        <v>-15.3</v>
      </c>
      <c r="BC299">
        <v>-15.8</v>
      </c>
      <c r="BD299">
        <v>-16.399999999999999</v>
      </c>
      <c r="BE299">
        <v>-16.399999999999999</v>
      </c>
    </row>
    <row r="300" spans="1:57" x14ac:dyDescent="0.25">
      <c r="A300" t="s">
        <v>981</v>
      </c>
      <c r="B300">
        <v>126</v>
      </c>
      <c r="C300" t="s">
        <v>43</v>
      </c>
      <c r="D300">
        <v>2</v>
      </c>
      <c r="E300" t="s">
        <v>142</v>
      </c>
      <c r="F300" t="s">
        <v>382</v>
      </c>
      <c r="G300">
        <v>1210</v>
      </c>
      <c r="H300">
        <v>1</v>
      </c>
      <c r="I300">
        <v>1</v>
      </c>
      <c r="J300">
        <v>0</v>
      </c>
      <c r="K300" t="s">
        <v>179</v>
      </c>
      <c r="L300" t="s">
        <v>1100</v>
      </c>
      <c r="M300" t="s">
        <v>1063</v>
      </c>
      <c r="N300">
        <v>1</v>
      </c>
      <c r="P300" t="s">
        <v>243</v>
      </c>
      <c r="Q300">
        <v>6</v>
      </c>
      <c r="R300">
        <v>7.32</v>
      </c>
      <c r="S300">
        <v>7.92</v>
      </c>
      <c r="T300">
        <v>3.57</v>
      </c>
      <c r="U300">
        <v>6</v>
      </c>
      <c r="V300">
        <v>55</v>
      </c>
      <c r="W300">
        <v>54.3</v>
      </c>
      <c r="X300">
        <v>0.9</v>
      </c>
      <c r="Y300">
        <v>44.4</v>
      </c>
      <c r="Z300">
        <v>0.4</v>
      </c>
      <c r="AB300">
        <v>4.0999999999999996</v>
      </c>
      <c r="AC300">
        <v>163</v>
      </c>
      <c r="AD300">
        <v>0.76</v>
      </c>
      <c r="AE300">
        <v>112</v>
      </c>
      <c r="AF300" t="s">
        <v>1147</v>
      </c>
      <c r="AG300">
        <v>3.5</v>
      </c>
      <c r="AI300">
        <v>7.4</v>
      </c>
      <c r="AJ300">
        <v>3.31</v>
      </c>
      <c r="AK300">
        <v>4.5</v>
      </c>
      <c r="AL300">
        <v>26.9</v>
      </c>
      <c r="AM300">
        <v>100.6</v>
      </c>
      <c r="AN300">
        <v>19.899999999999999</v>
      </c>
      <c r="AO300">
        <v>24</v>
      </c>
      <c r="AP300">
        <v>13.4</v>
      </c>
      <c r="AQ300">
        <v>3.5</v>
      </c>
      <c r="AR300">
        <v>0.73</v>
      </c>
      <c r="AS300">
        <v>30.6</v>
      </c>
      <c r="AT300">
        <v>66</v>
      </c>
      <c r="AU300">
        <v>72.7</v>
      </c>
      <c r="AV300">
        <v>29.9</v>
      </c>
      <c r="AW300">
        <v>7446</v>
      </c>
      <c r="AX300" t="s">
        <v>1148</v>
      </c>
      <c r="AY300" t="s">
        <v>1149</v>
      </c>
      <c r="AZ300">
        <v>331.3</v>
      </c>
      <c r="BA300">
        <v>47.8</v>
      </c>
      <c r="BB300">
        <v>3.5</v>
      </c>
      <c r="BC300">
        <v>4.5</v>
      </c>
      <c r="BD300">
        <v>2.7</v>
      </c>
      <c r="BE300">
        <v>4.0999999999999996</v>
      </c>
    </row>
    <row r="301" spans="1:57" x14ac:dyDescent="0.25">
      <c r="A301" t="s">
        <v>810</v>
      </c>
      <c r="B301">
        <v>136</v>
      </c>
      <c r="C301" t="s">
        <v>45</v>
      </c>
      <c r="D301">
        <v>2</v>
      </c>
      <c r="E301" t="s">
        <v>146</v>
      </c>
      <c r="F301" t="s">
        <v>382</v>
      </c>
      <c r="G301">
        <v>1041</v>
      </c>
      <c r="H301">
        <v>0</v>
      </c>
      <c r="I301">
        <v>1</v>
      </c>
      <c r="J301">
        <v>0</v>
      </c>
      <c r="K301" t="s">
        <v>156</v>
      </c>
      <c r="L301" t="s">
        <v>1100</v>
      </c>
      <c r="M301" t="s">
        <v>1063</v>
      </c>
      <c r="N301">
        <v>1</v>
      </c>
      <c r="P301" t="s">
        <v>245</v>
      </c>
      <c r="Q301">
        <v>3.5</v>
      </c>
      <c r="R301">
        <v>7.3129999999999997</v>
      </c>
      <c r="S301">
        <v>7.2</v>
      </c>
      <c r="T301">
        <v>6.51</v>
      </c>
      <c r="U301">
        <v>3.5</v>
      </c>
      <c r="V301">
        <v>87.5</v>
      </c>
      <c r="W301">
        <v>84.2</v>
      </c>
      <c r="X301">
        <v>2.9</v>
      </c>
      <c r="Y301">
        <v>12</v>
      </c>
      <c r="Z301">
        <v>0.9</v>
      </c>
      <c r="AB301">
        <v>4.5999999999999996</v>
      </c>
      <c r="AC301">
        <v>205</v>
      </c>
      <c r="AD301">
        <v>0.51</v>
      </c>
      <c r="AE301">
        <v>148</v>
      </c>
      <c r="AF301" t="s">
        <v>675</v>
      </c>
      <c r="AG301">
        <v>0.8</v>
      </c>
      <c r="AI301">
        <v>6.7</v>
      </c>
      <c r="AJ301">
        <v>3.17</v>
      </c>
      <c r="AK301">
        <v>1.2</v>
      </c>
      <c r="AL301">
        <v>25.3</v>
      </c>
      <c r="AM301">
        <v>100.7</v>
      </c>
      <c r="AN301">
        <v>30.1</v>
      </c>
      <c r="AO301">
        <v>34.700000000000003</v>
      </c>
      <c r="AP301">
        <v>7.5</v>
      </c>
      <c r="AQ301">
        <v>1.1000000000000001</v>
      </c>
      <c r="AR301">
        <v>0.49</v>
      </c>
      <c r="AS301">
        <v>27.4</v>
      </c>
      <c r="AT301">
        <v>61.4</v>
      </c>
      <c r="AU301">
        <v>65</v>
      </c>
      <c r="AV301">
        <v>17.3</v>
      </c>
      <c r="AW301">
        <v>7413</v>
      </c>
      <c r="AX301" t="s">
        <v>773</v>
      </c>
      <c r="AY301" t="s">
        <v>665</v>
      </c>
      <c r="AZ301">
        <v>415.6</v>
      </c>
      <c r="BA301">
        <v>48.6</v>
      </c>
      <c r="BB301">
        <v>1.1000000000000001</v>
      </c>
      <c r="BC301">
        <v>1.2</v>
      </c>
      <c r="BD301">
        <v>1</v>
      </c>
      <c r="BE301">
        <v>1</v>
      </c>
    </row>
    <row r="302" spans="1:57" x14ac:dyDescent="0.25">
      <c r="A302" t="s">
        <v>832</v>
      </c>
      <c r="B302">
        <v>133</v>
      </c>
      <c r="C302" t="s">
        <v>47</v>
      </c>
      <c r="D302">
        <v>2</v>
      </c>
      <c r="E302" t="s">
        <v>146</v>
      </c>
      <c r="F302" t="s">
        <v>382</v>
      </c>
      <c r="G302">
        <v>1260.5999999999999</v>
      </c>
      <c r="H302">
        <v>0</v>
      </c>
      <c r="I302">
        <v>1</v>
      </c>
      <c r="J302">
        <v>0</v>
      </c>
      <c r="K302" t="s">
        <v>162</v>
      </c>
      <c r="L302" t="s">
        <v>1100</v>
      </c>
      <c r="M302" t="s">
        <v>1063</v>
      </c>
      <c r="N302">
        <v>1</v>
      </c>
      <c r="P302" t="s">
        <v>247</v>
      </c>
      <c r="Q302">
        <v>5.4</v>
      </c>
      <c r="R302">
        <v>7.3410000000000002</v>
      </c>
      <c r="S302">
        <v>7.17</v>
      </c>
      <c r="T302">
        <v>7.97</v>
      </c>
      <c r="U302">
        <v>5.4</v>
      </c>
      <c r="V302">
        <v>96</v>
      </c>
      <c r="W302">
        <v>94.1</v>
      </c>
      <c r="X302">
        <v>1.3</v>
      </c>
      <c r="Y302">
        <v>3.9</v>
      </c>
      <c r="Z302">
        <v>0.7</v>
      </c>
      <c r="AB302">
        <v>3.9</v>
      </c>
      <c r="AC302">
        <v>173</v>
      </c>
      <c r="AD302">
        <v>0.78</v>
      </c>
      <c r="AE302">
        <v>118</v>
      </c>
      <c r="AF302" t="s">
        <v>749</v>
      </c>
      <c r="AG302">
        <v>0.4</v>
      </c>
      <c r="AI302">
        <v>11.6</v>
      </c>
      <c r="AJ302">
        <v>2.35</v>
      </c>
      <c r="AK302">
        <v>3.3</v>
      </c>
      <c r="AL302">
        <v>26.8</v>
      </c>
      <c r="AM302">
        <v>100.7</v>
      </c>
      <c r="AN302">
        <v>25.7</v>
      </c>
      <c r="AO302">
        <v>29.6</v>
      </c>
      <c r="AP302">
        <v>11.8</v>
      </c>
      <c r="AQ302">
        <v>2.7</v>
      </c>
      <c r="AR302">
        <v>0.76</v>
      </c>
      <c r="AS302">
        <v>29</v>
      </c>
      <c r="AT302">
        <v>62.6</v>
      </c>
      <c r="AU302">
        <v>68.8</v>
      </c>
      <c r="AV302">
        <v>26.6</v>
      </c>
      <c r="AW302">
        <v>7436</v>
      </c>
      <c r="AX302" t="s">
        <v>1150</v>
      </c>
      <c r="AY302" t="s">
        <v>1151</v>
      </c>
      <c r="AZ302">
        <v>348.9</v>
      </c>
      <c r="BA302">
        <v>45.6</v>
      </c>
      <c r="BB302">
        <v>2.7</v>
      </c>
      <c r="BC302">
        <v>3.3</v>
      </c>
      <c r="BD302">
        <v>2.6</v>
      </c>
      <c r="BE302">
        <v>3.3</v>
      </c>
    </row>
    <row r="303" spans="1:57" x14ac:dyDescent="0.25">
      <c r="A303" t="s">
        <v>601</v>
      </c>
      <c r="B303">
        <v>135</v>
      </c>
      <c r="C303" t="s">
        <v>51</v>
      </c>
      <c r="D303">
        <v>2</v>
      </c>
      <c r="E303" t="s">
        <v>54</v>
      </c>
      <c r="F303" t="s">
        <v>382</v>
      </c>
      <c r="G303">
        <v>1387</v>
      </c>
      <c r="H303">
        <v>0</v>
      </c>
      <c r="I303">
        <v>0</v>
      </c>
      <c r="J303">
        <v>1</v>
      </c>
      <c r="K303" t="s">
        <v>158</v>
      </c>
      <c r="L303" t="s">
        <v>1100</v>
      </c>
      <c r="M303" t="s">
        <v>1063</v>
      </c>
      <c r="N303">
        <v>1</v>
      </c>
      <c r="P303" t="s">
        <v>249</v>
      </c>
      <c r="Q303">
        <v>6.1</v>
      </c>
      <c r="R303">
        <v>7.5090000000000003</v>
      </c>
      <c r="S303">
        <v>4.54</v>
      </c>
      <c r="T303">
        <v>17.8</v>
      </c>
      <c r="U303">
        <v>6.1</v>
      </c>
      <c r="V303">
        <v>100.9</v>
      </c>
      <c r="W303">
        <v>100.1</v>
      </c>
      <c r="X303">
        <v>0.6</v>
      </c>
      <c r="Y303">
        <v>-0.9</v>
      </c>
      <c r="Z303">
        <v>0.2</v>
      </c>
      <c r="AB303">
        <v>3.2</v>
      </c>
      <c r="AC303">
        <v>148</v>
      </c>
      <c r="AD303">
        <v>1.35</v>
      </c>
      <c r="AE303">
        <v>113</v>
      </c>
      <c r="AF303" t="s">
        <v>1069</v>
      </c>
      <c r="AG303">
        <v>2.2999999999999998</v>
      </c>
      <c r="AI303">
        <v>13.9</v>
      </c>
      <c r="AJ303">
        <v>2.52</v>
      </c>
      <c r="AK303">
        <v>4</v>
      </c>
      <c r="AL303">
        <v>28</v>
      </c>
      <c r="AM303">
        <v>100.7</v>
      </c>
      <c r="AN303">
        <v>8.1999999999999993</v>
      </c>
      <c r="AO303">
        <v>11.3</v>
      </c>
      <c r="AP303">
        <v>13.5</v>
      </c>
      <c r="AQ303">
        <v>4</v>
      </c>
      <c r="AR303">
        <v>1.43</v>
      </c>
      <c r="AS303">
        <v>27</v>
      </c>
      <c r="AT303">
        <v>56</v>
      </c>
      <c r="AU303">
        <v>62.9</v>
      </c>
      <c r="AV303">
        <v>30</v>
      </c>
      <c r="AW303">
        <v>7457</v>
      </c>
      <c r="AX303" t="s">
        <v>1108</v>
      </c>
      <c r="AY303" t="s">
        <v>1109</v>
      </c>
      <c r="AZ303">
        <v>309.8</v>
      </c>
      <c r="BA303">
        <v>31</v>
      </c>
      <c r="BB303">
        <v>4</v>
      </c>
      <c r="BC303">
        <v>4</v>
      </c>
      <c r="BD303">
        <v>4</v>
      </c>
      <c r="BE303">
        <v>4</v>
      </c>
    </row>
    <row r="304" spans="1:57" x14ac:dyDescent="0.25">
      <c r="A304" t="s">
        <v>609</v>
      </c>
      <c r="B304">
        <v>132</v>
      </c>
      <c r="C304" t="s">
        <v>56</v>
      </c>
      <c r="D304">
        <v>2</v>
      </c>
      <c r="E304" t="s">
        <v>54</v>
      </c>
      <c r="F304" t="s">
        <v>383</v>
      </c>
      <c r="G304">
        <v>1015.2</v>
      </c>
      <c r="H304">
        <v>0</v>
      </c>
      <c r="I304">
        <v>0</v>
      </c>
      <c r="J304">
        <v>1</v>
      </c>
      <c r="K304" t="s">
        <v>164</v>
      </c>
      <c r="L304" t="s">
        <v>1100</v>
      </c>
      <c r="M304" t="s">
        <v>1063</v>
      </c>
      <c r="N304">
        <v>1</v>
      </c>
      <c r="P304" t="s">
        <v>251</v>
      </c>
      <c r="Q304">
        <v>5.5</v>
      </c>
      <c r="R304">
        <v>7.51</v>
      </c>
      <c r="S304">
        <v>4.6399999999999997</v>
      </c>
      <c r="T304">
        <v>9.5</v>
      </c>
      <c r="U304">
        <v>5.5</v>
      </c>
      <c r="V304">
        <v>99.6</v>
      </c>
      <c r="W304">
        <v>98.2</v>
      </c>
      <c r="X304">
        <v>1.1000000000000001</v>
      </c>
      <c r="Y304">
        <v>0.4</v>
      </c>
      <c r="Z304">
        <v>0.3</v>
      </c>
      <c r="AB304">
        <v>3.8</v>
      </c>
      <c r="AC304">
        <v>147</v>
      </c>
      <c r="AD304">
        <v>1.31</v>
      </c>
      <c r="AE304">
        <v>108</v>
      </c>
      <c r="AF304" t="s">
        <v>1105</v>
      </c>
      <c r="AG304">
        <v>2.4</v>
      </c>
      <c r="AI304">
        <v>12.4</v>
      </c>
      <c r="AJ304">
        <v>2.4900000000000002</v>
      </c>
      <c r="AK304">
        <v>4.8</v>
      </c>
      <c r="AL304">
        <v>28.6</v>
      </c>
      <c r="AM304">
        <v>100.7</v>
      </c>
      <c r="AN304">
        <v>11.6</v>
      </c>
      <c r="AO304">
        <v>15.4</v>
      </c>
      <c r="AP304">
        <v>12.2</v>
      </c>
      <c r="AQ304">
        <v>4.5999999999999996</v>
      </c>
      <c r="AR304">
        <v>1.39</v>
      </c>
      <c r="AS304">
        <v>27.8</v>
      </c>
      <c r="AT304">
        <v>58.1</v>
      </c>
      <c r="AU304">
        <v>64.599999999999994</v>
      </c>
      <c r="AV304">
        <v>27.3</v>
      </c>
      <c r="AW304">
        <v>7465</v>
      </c>
      <c r="AX304" t="s">
        <v>1106</v>
      </c>
      <c r="AY304" t="s">
        <v>1107</v>
      </c>
      <c r="AZ304">
        <v>306.89999999999998</v>
      </c>
      <c r="BA304">
        <v>30.9</v>
      </c>
      <c r="BB304">
        <v>4.5999999999999996</v>
      </c>
      <c r="BC304">
        <v>4.8</v>
      </c>
      <c r="BD304">
        <v>4.5999999999999996</v>
      </c>
      <c r="BE304">
        <v>4.8</v>
      </c>
    </row>
    <row r="305" spans="1:57" x14ac:dyDescent="0.25">
      <c r="A305" t="s">
        <v>789</v>
      </c>
      <c r="B305">
        <v>128</v>
      </c>
      <c r="C305" t="s">
        <v>80</v>
      </c>
      <c r="D305">
        <v>2</v>
      </c>
      <c r="E305" t="s">
        <v>142</v>
      </c>
      <c r="F305" t="s">
        <v>382</v>
      </c>
      <c r="G305">
        <v>678</v>
      </c>
      <c r="H305">
        <v>1</v>
      </c>
      <c r="I305">
        <v>1</v>
      </c>
      <c r="J305">
        <v>0</v>
      </c>
      <c r="K305" t="s">
        <v>172</v>
      </c>
      <c r="L305" t="s">
        <v>1100</v>
      </c>
      <c r="M305" t="s">
        <v>1063</v>
      </c>
      <c r="N305">
        <v>1</v>
      </c>
      <c r="P305" t="s">
        <v>253</v>
      </c>
      <c r="Q305">
        <v>4.2</v>
      </c>
      <c r="R305">
        <v>7.335</v>
      </c>
      <c r="S305">
        <v>7.27</v>
      </c>
      <c r="T305">
        <v>36.9</v>
      </c>
      <c r="U305">
        <v>4.2</v>
      </c>
      <c r="V305">
        <v>105.7</v>
      </c>
      <c r="W305">
        <v>101.6</v>
      </c>
      <c r="X305">
        <v>2.9</v>
      </c>
      <c r="Y305">
        <v>-5.5</v>
      </c>
      <c r="Z305">
        <v>1</v>
      </c>
      <c r="AB305">
        <v>4.5999999999999996</v>
      </c>
      <c r="AC305">
        <v>162</v>
      </c>
      <c r="AD305">
        <v>0.95</v>
      </c>
      <c r="AE305">
        <v>112</v>
      </c>
      <c r="AF305" t="s">
        <v>728</v>
      </c>
      <c r="AG305">
        <v>0.4</v>
      </c>
      <c r="AK305">
        <v>3.2</v>
      </c>
      <c r="AM305">
        <v>100.6</v>
      </c>
      <c r="AN305">
        <v>20.5</v>
      </c>
      <c r="AO305">
        <v>25.1</v>
      </c>
      <c r="AP305">
        <v>9</v>
      </c>
      <c r="AQ305">
        <v>2.9</v>
      </c>
      <c r="AR305">
        <v>0.92</v>
      </c>
      <c r="AS305">
        <v>29.1</v>
      </c>
      <c r="AU305">
        <v>68.900000000000006</v>
      </c>
      <c r="AV305">
        <v>20.6</v>
      </c>
      <c r="AW305">
        <v>7438</v>
      </c>
      <c r="AX305" t="s">
        <v>1046</v>
      </c>
      <c r="AY305" t="s">
        <v>1139</v>
      </c>
      <c r="AZ305">
        <v>327.3</v>
      </c>
      <c r="BA305">
        <v>46.2</v>
      </c>
      <c r="BB305">
        <v>2.9</v>
      </c>
      <c r="BC305">
        <v>3.2</v>
      </c>
    </row>
    <row r="306" spans="1:57" x14ac:dyDescent="0.25">
      <c r="A306" t="s">
        <v>847</v>
      </c>
      <c r="B306">
        <v>141</v>
      </c>
      <c r="C306" t="s">
        <v>82</v>
      </c>
      <c r="D306">
        <v>2</v>
      </c>
      <c r="E306" t="s">
        <v>146</v>
      </c>
      <c r="F306" t="s">
        <v>383</v>
      </c>
      <c r="G306">
        <v>1405</v>
      </c>
      <c r="H306">
        <v>0</v>
      </c>
      <c r="I306">
        <v>1</v>
      </c>
      <c r="J306">
        <v>0</v>
      </c>
      <c r="K306" t="s">
        <v>148</v>
      </c>
      <c r="L306" t="s">
        <v>1100</v>
      </c>
      <c r="M306" t="s">
        <v>1063</v>
      </c>
      <c r="N306">
        <v>1</v>
      </c>
      <c r="P306" t="s">
        <v>255</v>
      </c>
      <c r="Q306">
        <v>5.0999999999999996</v>
      </c>
      <c r="R306">
        <v>7.194</v>
      </c>
      <c r="S306">
        <v>10.5</v>
      </c>
      <c r="T306">
        <v>4.26</v>
      </c>
      <c r="U306">
        <v>5.0999999999999996</v>
      </c>
      <c r="V306">
        <v>56.7</v>
      </c>
      <c r="W306">
        <v>55.5</v>
      </c>
      <c r="X306">
        <v>1.1000000000000001</v>
      </c>
      <c r="Y306">
        <v>42.4</v>
      </c>
      <c r="Z306">
        <v>1</v>
      </c>
      <c r="AB306">
        <v>4.0999999999999996</v>
      </c>
      <c r="AC306">
        <v>190</v>
      </c>
      <c r="AD306">
        <v>0.55000000000000004</v>
      </c>
      <c r="AE306">
        <v>130</v>
      </c>
      <c r="AF306" t="s">
        <v>752</v>
      </c>
      <c r="AG306">
        <v>1.6</v>
      </c>
      <c r="AI306">
        <v>6.4</v>
      </c>
      <c r="AJ306">
        <v>3.85</v>
      </c>
      <c r="AK306">
        <v>2.1</v>
      </c>
      <c r="AL306">
        <v>25</v>
      </c>
      <c r="AM306">
        <v>100.7</v>
      </c>
      <c r="AN306">
        <v>29.7</v>
      </c>
      <c r="AO306">
        <v>33.799999999999997</v>
      </c>
      <c r="AP306">
        <v>11.1</v>
      </c>
      <c r="AQ306">
        <v>1.3</v>
      </c>
      <c r="AR306">
        <v>0.49</v>
      </c>
      <c r="AS306">
        <v>30.2</v>
      </c>
      <c r="AT306">
        <v>67.900000000000006</v>
      </c>
      <c r="AU306">
        <v>73.2</v>
      </c>
      <c r="AV306">
        <v>25.1</v>
      </c>
      <c r="AW306">
        <v>7408</v>
      </c>
      <c r="AX306" t="s">
        <v>1161</v>
      </c>
      <c r="AY306" t="s">
        <v>1162</v>
      </c>
      <c r="AZ306">
        <v>384.3</v>
      </c>
      <c r="BA306">
        <v>64</v>
      </c>
      <c r="BB306">
        <v>1.3</v>
      </c>
      <c r="BC306">
        <v>2.1</v>
      </c>
      <c r="BD306">
        <v>0.6</v>
      </c>
      <c r="BE306">
        <v>1.7</v>
      </c>
    </row>
    <row r="307" spans="1:57" x14ac:dyDescent="0.25">
      <c r="A307" t="s">
        <v>695</v>
      </c>
      <c r="B307">
        <v>131</v>
      </c>
      <c r="C307" t="s">
        <v>58</v>
      </c>
      <c r="D307">
        <v>2</v>
      </c>
      <c r="E307" t="s">
        <v>71</v>
      </c>
      <c r="F307" t="s">
        <v>383</v>
      </c>
      <c r="G307">
        <v>1202.8</v>
      </c>
      <c r="H307">
        <v>0</v>
      </c>
      <c r="I307">
        <v>0</v>
      </c>
      <c r="J307">
        <v>0</v>
      </c>
      <c r="K307" t="s">
        <v>166</v>
      </c>
      <c r="L307" t="s">
        <v>1100</v>
      </c>
      <c r="M307" t="s">
        <v>1063</v>
      </c>
      <c r="N307">
        <v>1</v>
      </c>
      <c r="P307" t="s">
        <v>257</v>
      </c>
      <c r="Q307">
        <v>5.7</v>
      </c>
      <c r="R307">
        <v>7.5229999999999997</v>
      </c>
      <c r="S307">
        <v>4.4000000000000004</v>
      </c>
      <c r="T307">
        <v>10.5</v>
      </c>
      <c r="U307">
        <v>5.7</v>
      </c>
      <c r="V307">
        <v>99.8</v>
      </c>
      <c r="W307">
        <v>98.8</v>
      </c>
      <c r="X307">
        <v>0.8</v>
      </c>
      <c r="Y307">
        <v>0.2</v>
      </c>
      <c r="Z307">
        <v>0.2</v>
      </c>
      <c r="AB307">
        <v>4.8</v>
      </c>
      <c r="AC307">
        <v>188</v>
      </c>
      <c r="AD307">
        <v>0.64</v>
      </c>
      <c r="AE307">
        <v>129</v>
      </c>
      <c r="AF307" t="s">
        <v>773</v>
      </c>
      <c r="AG307">
        <v>0.9</v>
      </c>
      <c r="AI307">
        <v>12.9</v>
      </c>
      <c r="AJ307">
        <v>2.4900000000000002</v>
      </c>
      <c r="AK307">
        <v>4.3</v>
      </c>
      <c r="AL307">
        <v>28.3</v>
      </c>
      <c r="AM307">
        <v>100.7</v>
      </c>
      <c r="AN307">
        <v>31</v>
      </c>
      <c r="AO307">
        <v>35.799999999999997</v>
      </c>
      <c r="AP307">
        <v>12.7</v>
      </c>
      <c r="AQ307">
        <v>4.3</v>
      </c>
      <c r="AR307">
        <v>0.69</v>
      </c>
      <c r="AS307">
        <v>27.1</v>
      </c>
      <c r="AT307">
        <v>56.5</v>
      </c>
      <c r="AU307">
        <v>63</v>
      </c>
      <c r="AV307">
        <v>28.2</v>
      </c>
      <c r="AW307">
        <v>7461</v>
      </c>
      <c r="AX307" t="s">
        <v>1128</v>
      </c>
      <c r="AY307" t="s">
        <v>1129</v>
      </c>
      <c r="AZ307">
        <v>386.8</v>
      </c>
      <c r="BA307">
        <v>30</v>
      </c>
      <c r="BB307">
        <v>4.3</v>
      </c>
      <c r="BC307">
        <v>4.3</v>
      </c>
      <c r="BD307">
        <v>4.3</v>
      </c>
      <c r="BE307">
        <v>4.3</v>
      </c>
    </row>
    <row r="308" spans="1:57" x14ac:dyDescent="0.25">
      <c r="A308" t="s">
        <v>771</v>
      </c>
      <c r="B308">
        <v>140</v>
      </c>
      <c r="C308" t="s">
        <v>60</v>
      </c>
      <c r="D308">
        <v>2</v>
      </c>
      <c r="E308" t="s">
        <v>142</v>
      </c>
      <c r="F308" t="s">
        <v>383</v>
      </c>
      <c r="G308">
        <v>1261</v>
      </c>
      <c r="H308">
        <v>1</v>
      </c>
      <c r="I308">
        <v>1</v>
      </c>
      <c r="J308">
        <v>0</v>
      </c>
      <c r="K308" t="s">
        <v>150</v>
      </c>
      <c r="L308" t="s">
        <v>1100</v>
      </c>
      <c r="M308" t="s">
        <v>1063</v>
      </c>
      <c r="N308">
        <v>1</v>
      </c>
      <c r="P308" t="s">
        <v>259</v>
      </c>
      <c r="Q308">
        <v>5.6</v>
      </c>
      <c r="R308">
        <v>7.1139999999999999</v>
      </c>
      <c r="S308">
        <v>12</v>
      </c>
      <c r="T308">
        <v>10.9</v>
      </c>
      <c r="U308">
        <v>5.6</v>
      </c>
      <c r="V308">
        <v>96.5</v>
      </c>
      <c r="W308">
        <v>94.4</v>
      </c>
      <c r="X308">
        <v>1.2</v>
      </c>
      <c r="Y308">
        <v>3.4</v>
      </c>
      <c r="Z308">
        <v>1</v>
      </c>
      <c r="AB308">
        <v>4.3</v>
      </c>
      <c r="AC308">
        <v>186</v>
      </c>
      <c r="AD308">
        <v>0.53</v>
      </c>
      <c r="AE308">
        <v>128</v>
      </c>
      <c r="AF308" t="s">
        <v>1140</v>
      </c>
      <c r="AG308">
        <v>0.5</v>
      </c>
      <c r="AI308">
        <v>12.1</v>
      </c>
      <c r="AJ308">
        <v>3.28</v>
      </c>
      <c r="AK308">
        <v>-0.5</v>
      </c>
      <c r="AL308">
        <v>23.1</v>
      </c>
      <c r="AM308">
        <v>100.7</v>
      </c>
      <c r="AN308">
        <v>28.3</v>
      </c>
      <c r="AO308">
        <v>32.6</v>
      </c>
      <c r="AP308">
        <v>12.2</v>
      </c>
      <c r="AQ308">
        <v>-1.5</v>
      </c>
      <c r="AR308">
        <v>0.46</v>
      </c>
      <c r="AS308">
        <v>29</v>
      </c>
      <c r="AT308">
        <v>65.400000000000006</v>
      </c>
      <c r="AU308">
        <v>71.099999999999994</v>
      </c>
      <c r="AV308">
        <v>27.5</v>
      </c>
      <c r="AW308">
        <v>7361</v>
      </c>
      <c r="AX308" t="s">
        <v>1141</v>
      </c>
      <c r="AY308" t="s">
        <v>1142</v>
      </c>
      <c r="AZ308">
        <v>378.1</v>
      </c>
      <c r="BA308">
        <v>76.8</v>
      </c>
      <c r="BB308">
        <v>-1.5</v>
      </c>
      <c r="BC308">
        <v>-0.5</v>
      </c>
      <c r="BD308">
        <v>-1.5</v>
      </c>
      <c r="BE308">
        <v>-0.5</v>
      </c>
    </row>
    <row r="309" spans="1:57" x14ac:dyDescent="0.25">
      <c r="A309" t="s">
        <v>727</v>
      </c>
      <c r="B309">
        <v>134</v>
      </c>
      <c r="C309" t="s">
        <v>64</v>
      </c>
      <c r="D309">
        <v>2</v>
      </c>
      <c r="E309" t="s">
        <v>71</v>
      </c>
      <c r="F309" t="s">
        <v>383</v>
      </c>
      <c r="G309">
        <v>1031</v>
      </c>
      <c r="H309">
        <v>0</v>
      </c>
      <c r="I309">
        <v>0</v>
      </c>
      <c r="J309">
        <v>0</v>
      </c>
      <c r="K309" t="s">
        <v>160</v>
      </c>
      <c r="L309" t="s">
        <v>1100</v>
      </c>
      <c r="M309" t="s">
        <v>1063</v>
      </c>
      <c r="N309">
        <v>1</v>
      </c>
      <c r="P309" t="s">
        <v>261</v>
      </c>
      <c r="Q309">
        <v>4.7</v>
      </c>
      <c r="R309">
        <v>7.5279999999999996</v>
      </c>
      <c r="S309">
        <v>4.29</v>
      </c>
      <c r="T309">
        <v>8.85</v>
      </c>
      <c r="U309">
        <v>4.7</v>
      </c>
      <c r="V309">
        <v>103.3</v>
      </c>
      <c r="W309">
        <v>99.7</v>
      </c>
      <c r="X309">
        <v>3.1</v>
      </c>
      <c r="Y309">
        <v>-3.2</v>
      </c>
      <c r="Z309">
        <v>0.4</v>
      </c>
      <c r="AB309">
        <v>3.8</v>
      </c>
      <c r="AC309">
        <v>191</v>
      </c>
      <c r="AD309">
        <v>0.63</v>
      </c>
      <c r="AE309">
        <v>139</v>
      </c>
      <c r="AF309" t="s">
        <v>802</v>
      </c>
      <c r="AG309">
        <v>0.8</v>
      </c>
      <c r="AK309">
        <v>4</v>
      </c>
      <c r="AM309">
        <v>100.7</v>
      </c>
      <c r="AN309">
        <v>25.3</v>
      </c>
      <c r="AO309">
        <v>29.1</v>
      </c>
      <c r="AP309">
        <v>10.1</v>
      </c>
      <c r="AQ309">
        <v>3.8</v>
      </c>
      <c r="AR309">
        <v>0.68</v>
      </c>
      <c r="AS309">
        <v>26.7</v>
      </c>
      <c r="AU309">
        <v>62.1</v>
      </c>
      <c r="AV309">
        <v>23.2</v>
      </c>
      <c r="AW309">
        <v>7456</v>
      </c>
      <c r="AX309" t="s">
        <v>1122</v>
      </c>
      <c r="AY309" t="s">
        <v>1123</v>
      </c>
      <c r="AZ309">
        <v>387.8</v>
      </c>
      <c r="BA309">
        <v>29.7</v>
      </c>
      <c r="BB309">
        <v>3.8</v>
      </c>
      <c r="BC309">
        <v>4</v>
      </c>
    </row>
    <row r="310" spans="1:57" x14ac:dyDescent="0.25">
      <c r="A310" t="s">
        <v>748</v>
      </c>
      <c r="B310">
        <v>129</v>
      </c>
      <c r="C310" t="s">
        <v>66</v>
      </c>
      <c r="D310">
        <v>2</v>
      </c>
      <c r="E310" t="s">
        <v>142</v>
      </c>
      <c r="F310" t="s">
        <v>382</v>
      </c>
      <c r="G310">
        <v>1098.7</v>
      </c>
      <c r="H310">
        <v>1</v>
      </c>
      <c r="I310">
        <v>1</v>
      </c>
      <c r="J310">
        <v>0</v>
      </c>
      <c r="K310" t="s">
        <v>168</v>
      </c>
      <c r="L310" t="s">
        <v>1100</v>
      </c>
      <c r="M310" t="s">
        <v>1063</v>
      </c>
      <c r="N310">
        <v>1</v>
      </c>
      <c r="P310" t="s">
        <v>265</v>
      </c>
      <c r="Q310">
        <v>6.3</v>
      </c>
      <c r="R310">
        <v>7.0510000000000002</v>
      </c>
      <c r="S310">
        <v>15</v>
      </c>
      <c r="T310">
        <v>8.2799999999999994</v>
      </c>
      <c r="U310">
        <v>6.3</v>
      </c>
      <c r="V310">
        <v>91</v>
      </c>
      <c r="W310">
        <v>89.5</v>
      </c>
      <c r="X310">
        <v>1.1000000000000001</v>
      </c>
      <c r="Y310">
        <v>8.8000000000000007</v>
      </c>
      <c r="Z310">
        <v>0.6</v>
      </c>
      <c r="AB310">
        <v>4.4000000000000004</v>
      </c>
      <c r="AC310">
        <v>167</v>
      </c>
      <c r="AD310">
        <v>0.77</v>
      </c>
      <c r="AE310">
        <v>117</v>
      </c>
      <c r="AF310" t="s">
        <v>1144</v>
      </c>
      <c r="AG310">
        <v>0.5</v>
      </c>
      <c r="AI310">
        <v>12.9</v>
      </c>
      <c r="AJ310">
        <v>3.62</v>
      </c>
      <c r="AK310">
        <v>0.8</v>
      </c>
      <c r="AL310">
        <v>23.3</v>
      </c>
      <c r="AM310">
        <v>100.7</v>
      </c>
      <c r="AN310">
        <v>18.8</v>
      </c>
      <c r="AO310">
        <v>23.2</v>
      </c>
      <c r="AP310">
        <v>14</v>
      </c>
      <c r="AQ310">
        <v>-1.2</v>
      </c>
      <c r="AR310">
        <v>0.63</v>
      </c>
      <c r="AS310">
        <v>31.2</v>
      </c>
      <c r="AT310">
        <v>71</v>
      </c>
      <c r="AU310">
        <v>77.7</v>
      </c>
      <c r="AV310">
        <v>31.3</v>
      </c>
      <c r="AW310">
        <v>7355</v>
      </c>
      <c r="AX310" t="s">
        <v>1145</v>
      </c>
      <c r="AY310" t="s">
        <v>1146</v>
      </c>
      <c r="AZ310">
        <v>342.5</v>
      </c>
      <c r="BA310">
        <v>89</v>
      </c>
      <c r="BB310">
        <v>-1.2</v>
      </c>
      <c r="BC310">
        <v>0.8</v>
      </c>
      <c r="BD310">
        <v>-1.4</v>
      </c>
      <c r="BE310">
        <v>0.7</v>
      </c>
    </row>
    <row r="311" spans="1:57" x14ac:dyDescent="0.25">
      <c r="A311" t="s">
        <v>662</v>
      </c>
      <c r="B311">
        <v>124</v>
      </c>
      <c r="C311" t="s">
        <v>385</v>
      </c>
      <c r="D311">
        <v>2</v>
      </c>
      <c r="E311" t="s">
        <v>40</v>
      </c>
      <c r="F311" t="s">
        <v>382</v>
      </c>
      <c r="G311">
        <v>793.5</v>
      </c>
      <c r="H311">
        <v>0</v>
      </c>
      <c r="I311">
        <v>1</v>
      </c>
      <c r="J311">
        <v>1</v>
      </c>
      <c r="K311" t="s">
        <v>183</v>
      </c>
      <c r="L311" t="s">
        <v>1100</v>
      </c>
      <c r="M311" t="s">
        <v>1063</v>
      </c>
      <c r="N311">
        <v>1</v>
      </c>
      <c r="P311" t="s">
        <v>267</v>
      </c>
      <c r="Q311">
        <v>4.4000000000000004</v>
      </c>
      <c r="R311">
        <v>7.0990000000000002</v>
      </c>
      <c r="S311">
        <v>11.6</v>
      </c>
      <c r="T311">
        <v>11.3</v>
      </c>
      <c r="U311">
        <v>4.4000000000000004</v>
      </c>
      <c r="V311">
        <v>102.7</v>
      </c>
      <c r="W311">
        <v>98</v>
      </c>
      <c r="X311">
        <v>3.1</v>
      </c>
      <c r="Y311">
        <v>-2.6</v>
      </c>
      <c r="Z311">
        <v>1.5</v>
      </c>
      <c r="AB311">
        <v>2.9</v>
      </c>
      <c r="AC311">
        <v>167</v>
      </c>
      <c r="AD311">
        <v>1.03</v>
      </c>
      <c r="AE311">
        <v>121</v>
      </c>
      <c r="AF311" t="s">
        <v>891</v>
      </c>
      <c r="AG311">
        <v>3</v>
      </c>
      <c r="AK311">
        <v>-2.9</v>
      </c>
      <c r="AM311">
        <v>100.6</v>
      </c>
      <c r="AN311">
        <v>19.600000000000001</v>
      </c>
      <c r="AO311">
        <v>22.5</v>
      </c>
      <c r="AP311">
        <v>9.4</v>
      </c>
      <c r="AQ311">
        <v>-3</v>
      </c>
      <c r="AR311">
        <v>0.87</v>
      </c>
      <c r="AS311">
        <v>26.8</v>
      </c>
      <c r="AU311">
        <v>66</v>
      </c>
      <c r="AV311">
        <v>21.8</v>
      </c>
      <c r="AW311">
        <v>7338</v>
      </c>
      <c r="AX311" t="s">
        <v>1115</v>
      </c>
      <c r="AY311" t="s">
        <v>1116</v>
      </c>
      <c r="AZ311">
        <v>345.3</v>
      </c>
      <c r="BA311">
        <v>79.599999999999994</v>
      </c>
      <c r="BB311">
        <v>-3</v>
      </c>
      <c r="BC311">
        <v>-2.9</v>
      </c>
    </row>
    <row r="312" spans="1:57" x14ac:dyDescent="0.25">
      <c r="A312" t="s">
        <v>785</v>
      </c>
      <c r="B312">
        <v>125</v>
      </c>
      <c r="C312" t="s">
        <v>70</v>
      </c>
      <c r="D312">
        <v>2</v>
      </c>
      <c r="E312" t="s">
        <v>142</v>
      </c>
      <c r="F312" t="s">
        <v>383</v>
      </c>
      <c r="G312">
        <v>1327</v>
      </c>
      <c r="H312">
        <v>1</v>
      </c>
      <c r="I312">
        <v>1</v>
      </c>
      <c r="J312">
        <v>0</v>
      </c>
      <c r="K312" t="s">
        <v>181</v>
      </c>
      <c r="L312" t="s">
        <v>1100</v>
      </c>
      <c r="M312" t="s">
        <v>1063</v>
      </c>
      <c r="N312">
        <v>1</v>
      </c>
      <c r="P312" t="s">
        <v>269</v>
      </c>
      <c r="Q312">
        <v>4.9000000000000004</v>
      </c>
      <c r="R312">
        <v>7.2489999999999997</v>
      </c>
      <c r="S312">
        <v>8.6199999999999992</v>
      </c>
      <c r="T312">
        <v>3.86</v>
      </c>
      <c r="U312">
        <v>4.9000000000000004</v>
      </c>
      <c r="V312">
        <v>55.8</v>
      </c>
      <c r="W312">
        <v>54.1</v>
      </c>
      <c r="X312">
        <v>2</v>
      </c>
      <c r="Y312">
        <v>42.9</v>
      </c>
      <c r="Z312">
        <v>1</v>
      </c>
      <c r="AB312">
        <v>4.4000000000000004</v>
      </c>
      <c r="AC312">
        <v>168</v>
      </c>
      <c r="AD312">
        <v>0.85</v>
      </c>
      <c r="AE312">
        <v>122</v>
      </c>
      <c r="AF312" t="s">
        <v>999</v>
      </c>
      <c r="AG312">
        <v>2</v>
      </c>
      <c r="AI312">
        <v>6</v>
      </c>
      <c r="AJ312">
        <v>3.53</v>
      </c>
      <c r="AK312">
        <v>1</v>
      </c>
      <c r="AL312">
        <v>24.3</v>
      </c>
      <c r="AM312">
        <v>100.6</v>
      </c>
      <c r="AN312">
        <v>18.399999999999999</v>
      </c>
      <c r="AO312">
        <v>22.8</v>
      </c>
      <c r="AP312">
        <v>10.7</v>
      </c>
      <c r="AQ312">
        <v>0.5</v>
      </c>
      <c r="AR312">
        <v>0.78</v>
      </c>
      <c r="AS312">
        <v>28.2</v>
      </c>
      <c r="AT312">
        <v>62.9</v>
      </c>
      <c r="AU312">
        <v>67.7</v>
      </c>
      <c r="AV312">
        <v>24.2</v>
      </c>
      <c r="AW312">
        <v>7401</v>
      </c>
      <c r="AX312" t="s">
        <v>1134</v>
      </c>
      <c r="AY312" t="s">
        <v>1135</v>
      </c>
      <c r="AZ312">
        <v>340.7</v>
      </c>
      <c r="BA312">
        <v>56.4</v>
      </c>
      <c r="BB312">
        <v>0.5</v>
      </c>
      <c r="BC312">
        <v>1</v>
      </c>
      <c r="BD312">
        <v>-0.2</v>
      </c>
      <c r="BE312">
        <v>0.6</v>
      </c>
    </row>
    <row r="313" spans="1:57" x14ac:dyDescent="0.25">
      <c r="A313" t="s">
        <v>622</v>
      </c>
      <c r="B313">
        <v>138</v>
      </c>
      <c r="C313" t="s">
        <v>386</v>
      </c>
      <c r="D313">
        <v>2</v>
      </c>
      <c r="E313" t="s">
        <v>54</v>
      </c>
      <c r="F313" t="s">
        <v>383</v>
      </c>
      <c r="G313">
        <v>1193</v>
      </c>
      <c r="H313">
        <v>0</v>
      </c>
      <c r="I313">
        <v>0</v>
      </c>
      <c r="J313">
        <v>1</v>
      </c>
      <c r="K313" t="s">
        <v>154</v>
      </c>
      <c r="L313" t="s">
        <v>1100</v>
      </c>
      <c r="M313" t="s">
        <v>1063</v>
      </c>
      <c r="N313">
        <v>1</v>
      </c>
      <c r="P313" t="s">
        <v>271</v>
      </c>
      <c r="Q313">
        <v>2.4</v>
      </c>
      <c r="R313">
        <v>7.3150000000000004</v>
      </c>
      <c r="S313">
        <v>3.3</v>
      </c>
      <c r="T313">
        <v>15.7</v>
      </c>
      <c r="U313">
        <v>2.4</v>
      </c>
      <c r="V313">
        <v>105</v>
      </c>
      <c r="W313">
        <v>99.6</v>
      </c>
      <c r="X313">
        <v>3.2</v>
      </c>
      <c r="Y313">
        <v>-4.7</v>
      </c>
      <c r="Z313">
        <v>1.9</v>
      </c>
      <c r="AB313">
        <v>3.2</v>
      </c>
      <c r="AC313">
        <v>190</v>
      </c>
      <c r="AD313">
        <v>0.74</v>
      </c>
      <c r="AE313">
        <v>134</v>
      </c>
      <c r="AF313" t="s">
        <v>704</v>
      </c>
      <c r="AG313">
        <v>12.6</v>
      </c>
      <c r="AK313">
        <v>-13.6</v>
      </c>
      <c r="AM313">
        <v>100.7</v>
      </c>
      <c r="AN313">
        <v>43.6</v>
      </c>
      <c r="AO313">
        <v>46.8</v>
      </c>
      <c r="AP313">
        <v>5</v>
      </c>
      <c r="AQ313">
        <v>-12.6</v>
      </c>
      <c r="AR313">
        <v>0.71</v>
      </c>
      <c r="AS313">
        <v>12.6</v>
      </c>
      <c r="AU313">
        <v>29.9</v>
      </c>
      <c r="AV313">
        <v>11.6</v>
      </c>
      <c r="AW313">
        <v>7169</v>
      </c>
      <c r="AX313" t="s">
        <v>1101</v>
      </c>
      <c r="AY313" t="s">
        <v>1102</v>
      </c>
      <c r="AZ313">
        <v>409.3</v>
      </c>
      <c r="BA313">
        <v>48.4</v>
      </c>
      <c r="BB313">
        <v>-12.6</v>
      </c>
      <c r="BC313">
        <v>-13.6</v>
      </c>
    </row>
    <row r="314" spans="1:57" x14ac:dyDescent="0.25">
      <c r="A314" t="s">
        <v>824</v>
      </c>
      <c r="B314">
        <v>127</v>
      </c>
      <c r="C314" t="s">
        <v>389</v>
      </c>
      <c r="D314">
        <v>2</v>
      </c>
      <c r="E314" t="s">
        <v>146</v>
      </c>
      <c r="F314" t="s">
        <v>383</v>
      </c>
      <c r="G314">
        <v>1281</v>
      </c>
      <c r="H314">
        <v>0</v>
      </c>
      <c r="I314">
        <v>1</v>
      </c>
      <c r="J314">
        <v>0</v>
      </c>
      <c r="K314" t="s">
        <v>174</v>
      </c>
      <c r="L314" t="s">
        <v>1100</v>
      </c>
      <c r="M314" t="s">
        <v>1063</v>
      </c>
      <c r="N314">
        <v>1</v>
      </c>
      <c r="P314" t="s">
        <v>273</v>
      </c>
      <c r="Q314">
        <v>4</v>
      </c>
      <c r="R314">
        <v>7.2249999999999996</v>
      </c>
      <c r="S314">
        <v>10.3</v>
      </c>
      <c r="T314">
        <v>5.61</v>
      </c>
      <c r="U314">
        <v>4</v>
      </c>
      <c r="V314">
        <v>81.8</v>
      </c>
      <c r="W314">
        <v>78.900000000000006</v>
      </c>
      <c r="X314">
        <v>2.6</v>
      </c>
      <c r="Y314">
        <v>17.5</v>
      </c>
      <c r="Z314">
        <v>1</v>
      </c>
      <c r="AB314">
        <v>3.9</v>
      </c>
      <c r="AC314">
        <v>163</v>
      </c>
      <c r="AD314">
        <v>0.9</v>
      </c>
      <c r="AE314">
        <v>116</v>
      </c>
      <c r="AF314" t="s">
        <v>862</v>
      </c>
      <c r="AG314">
        <v>0.8</v>
      </c>
      <c r="AI314">
        <v>7.2</v>
      </c>
      <c r="AJ314">
        <v>3.21</v>
      </c>
      <c r="AK314">
        <v>4.5</v>
      </c>
      <c r="AL314">
        <v>27.8</v>
      </c>
      <c r="AM314">
        <v>100.6</v>
      </c>
      <c r="AN314">
        <v>14.5</v>
      </c>
      <c r="AO314">
        <v>18.399999999999999</v>
      </c>
      <c r="AP314">
        <v>8.6</v>
      </c>
      <c r="AQ314">
        <v>4</v>
      </c>
      <c r="AR314">
        <v>0.81</v>
      </c>
      <c r="AS314">
        <v>32.1</v>
      </c>
      <c r="AT314">
        <v>72.599999999999994</v>
      </c>
      <c r="AU314">
        <v>77.3</v>
      </c>
      <c r="AV314">
        <v>19.7</v>
      </c>
      <c r="AW314">
        <v>7447</v>
      </c>
      <c r="AX314" t="s">
        <v>1153</v>
      </c>
      <c r="AY314" t="s">
        <v>1154</v>
      </c>
      <c r="AZ314">
        <v>330.4</v>
      </c>
      <c r="BA314">
        <v>59.5</v>
      </c>
      <c r="BB314">
        <v>4</v>
      </c>
      <c r="BC314">
        <v>4.5</v>
      </c>
      <c r="BD314">
        <v>3.7</v>
      </c>
      <c r="BE314">
        <v>4.3</v>
      </c>
    </row>
    <row r="315" spans="1:57" x14ac:dyDescent="0.25">
      <c r="A315" t="s">
        <v>828</v>
      </c>
      <c r="B315">
        <v>139</v>
      </c>
      <c r="C315" t="s">
        <v>390</v>
      </c>
      <c r="D315">
        <v>2</v>
      </c>
      <c r="E315" t="s">
        <v>146</v>
      </c>
      <c r="F315" t="s">
        <v>383</v>
      </c>
      <c r="G315">
        <v>1111</v>
      </c>
      <c r="H315">
        <v>0</v>
      </c>
      <c r="I315">
        <v>1</v>
      </c>
      <c r="J315">
        <v>0</v>
      </c>
      <c r="K315" t="s">
        <v>152</v>
      </c>
      <c r="L315" t="s">
        <v>1100</v>
      </c>
      <c r="M315" t="s">
        <v>1063</v>
      </c>
      <c r="N315">
        <v>1</v>
      </c>
      <c r="P315" t="s">
        <v>275</v>
      </c>
      <c r="Q315">
        <v>4.4000000000000004</v>
      </c>
      <c r="R315">
        <v>7.2439999999999998</v>
      </c>
      <c r="S315">
        <v>7.34</v>
      </c>
      <c r="T315">
        <v>3.93</v>
      </c>
      <c r="U315">
        <v>4.4000000000000004</v>
      </c>
      <c r="V315">
        <v>57.2</v>
      </c>
      <c r="W315">
        <v>55.2</v>
      </c>
      <c r="X315">
        <v>2</v>
      </c>
      <c r="Y315">
        <v>41.3</v>
      </c>
      <c r="Z315">
        <v>1.5</v>
      </c>
      <c r="AB315">
        <v>3.8</v>
      </c>
      <c r="AC315">
        <v>178</v>
      </c>
      <c r="AD315">
        <v>0.87</v>
      </c>
      <c r="AE315">
        <v>118</v>
      </c>
      <c r="AF315" t="s">
        <v>756</v>
      </c>
      <c r="AG315">
        <v>7.6</v>
      </c>
      <c r="AI315">
        <v>5.5</v>
      </c>
      <c r="AJ315">
        <v>3.52</v>
      </c>
      <c r="AK315">
        <v>-3.5</v>
      </c>
      <c r="AL315">
        <v>21.1</v>
      </c>
      <c r="AM315">
        <v>100.7</v>
      </c>
      <c r="AN315">
        <v>36.5</v>
      </c>
      <c r="AO315">
        <v>40.4</v>
      </c>
      <c r="AP315">
        <v>9.5</v>
      </c>
      <c r="AQ315">
        <v>-3.4</v>
      </c>
      <c r="AR315">
        <v>0.8</v>
      </c>
      <c r="AS315">
        <v>23.8</v>
      </c>
      <c r="AT315">
        <v>53.4</v>
      </c>
      <c r="AU315">
        <v>57.1</v>
      </c>
      <c r="AV315">
        <v>21.6</v>
      </c>
      <c r="AW315">
        <v>7343</v>
      </c>
      <c r="AX315" t="s">
        <v>611</v>
      </c>
      <c r="AY315" t="s">
        <v>747</v>
      </c>
      <c r="AZ315">
        <v>360.2</v>
      </c>
      <c r="BA315">
        <v>57</v>
      </c>
      <c r="BB315">
        <v>-3.4</v>
      </c>
      <c r="BC315">
        <v>-3.5</v>
      </c>
      <c r="BD315">
        <v>-4</v>
      </c>
      <c r="BE315">
        <v>-3.9</v>
      </c>
    </row>
    <row r="316" spans="1:57" x14ac:dyDescent="0.25">
      <c r="A316" t="s">
        <v>635</v>
      </c>
      <c r="B316">
        <v>122</v>
      </c>
      <c r="C316" t="s">
        <v>384</v>
      </c>
      <c r="D316">
        <v>2</v>
      </c>
      <c r="E316" t="s">
        <v>40</v>
      </c>
      <c r="F316" t="s">
        <v>383</v>
      </c>
      <c r="G316">
        <v>1340.4</v>
      </c>
      <c r="H316">
        <v>0</v>
      </c>
      <c r="I316">
        <v>1</v>
      </c>
      <c r="J316">
        <v>1</v>
      </c>
      <c r="K316" t="s">
        <v>184</v>
      </c>
      <c r="L316" t="s">
        <v>1100</v>
      </c>
      <c r="M316" t="s">
        <v>1063</v>
      </c>
      <c r="N316">
        <v>1</v>
      </c>
      <c r="P316" t="s">
        <v>1117</v>
      </c>
      <c r="Q316">
        <v>5</v>
      </c>
      <c r="R316">
        <v>6.9459999999999997</v>
      </c>
      <c r="S316">
        <v>10.7</v>
      </c>
      <c r="T316">
        <v>4.49</v>
      </c>
      <c r="U316">
        <v>5</v>
      </c>
      <c r="V316">
        <v>69</v>
      </c>
      <c r="W316">
        <v>66.900000000000006</v>
      </c>
      <c r="X316">
        <v>2.2999999999999998</v>
      </c>
      <c r="Y316">
        <v>30.1</v>
      </c>
      <c r="Z316">
        <v>0.7</v>
      </c>
      <c r="AB316">
        <v>6.2</v>
      </c>
      <c r="AC316">
        <v>168</v>
      </c>
      <c r="AD316">
        <v>0.71</v>
      </c>
      <c r="AE316">
        <v>117</v>
      </c>
      <c r="AF316" t="s">
        <v>614</v>
      </c>
      <c r="AG316">
        <v>3.1</v>
      </c>
      <c r="AI316">
        <v>7.6</v>
      </c>
      <c r="AJ316">
        <v>3.32</v>
      </c>
      <c r="AK316">
        <v>-14.7</v>
      </c>
      <c r="AL316">
        <v>13</v>
      </c>
      <c r="AM316">
        <v>100.5</v>
      </c>
      <c r="AN316">
        <v>33.299999999999997</v>
      </c>
      <c r="AO316">
        <v>39.5</v>
      </c>
      <c r="AP316">
        <v>10.9</v>
      </c>
      <c r="AQ316">
        <v>-14.3</v>
      </c>
      <c r="AR316">
        <v>0.55000000000000004</v>
      </c>
      <c r="AS316">
        <v>17.399999999999999</v>
      </c>
      <c r="AT316">
        <v>42</v>
      </c>
      <c r="AU316">
        <v>44.5</v>
      </c>
      <c r="AV316">
        <v>24.7</v>
      </c>
      <c r="AW316">
        <v>7125</v>
      </c>
      <c r="AX316" t="s">
        <v>1118</v>
      </c>
      <c r="AY316" t="s">
        <v>1119</v>
      </c>
      <c r="BA316">
        <v>113.3</v>
      </c>
      <c r="BB316">
        <v>-14.3</v>
      </c>
      <c r="BC316">
        <v>-14.7</v>
      </c>
      <c r="BD316">
        <v>-14.8</v>
      </c>
      <c r="BE316">
        <v>-15</v>
      </c>
    </row>
    <row r="317" spans="1:57" x14ac:dyDescent="0.25">
      <c r="A317" t="s">
        <v>724</v>
      </c>
      <c r="B317">
        <v>137</v>
      </c>
      <c r="C317" t="s">
        <v>175</v>
      </c>
      <c r="D317">
        <v>2</v>
      </c>
      <c r="E317" t="s">
        <v>71</v>
      </c>
      <c r="F317" t="s">
        <v>382</v>
      </c>
      <c r="G317">
        <v>1275</v>
      </c>
      <c r="H317">
        <v>0</v>
      </c>
      <c r="I317">
        <v>0</v>
      </c>
      <c r="J317">
        <v>0</v>
      </c>
      <c r="K317" t="s">
        <v>144</v>
      </c>
      <c r="L317" t="s">
        <v>1100</v>
      </c>
      <c r="M317" t="s">
        <v>1063</v>
      </c>
      <c r="P317" t="s">
        <v>263</v>
      </c>
      <c r="Q317">
        <v>5.3</v>
      </c>
      <c r="R317">
        <v>7.4020000000000001</v>
      </c>
      <c r="S317">
        <v>6</v>
      </c>
      <c r="T317">
        <v>3.62</v>
      </c>
      <c r="U317">
        <v>5.3</v>
      </c>
      <c r="V317">
        <v>70.599999999999994</v>
      </c>
      <c r="W317">
        <v>68.7</v>
      </c>
      <c r="X317">
        <v>2.1</v>
      </c>
      <c r="Y317">
        <v>28.6</v>
      </c>
      <c r="Z317">
        <v>0.6</v>
      </c>
      <c r="AB317">
        <v>3.9</v>
      </c>
      <c r="AC317">
        <v>142</v>
      </c>
      <c r="AD317">
        <v>1.44</v>
      </c>
      <c r="AE317">
        <v>108</v>
      </c>
      <c r="AF317" t="s">
        <v>756</v>
      </c>
      <c r="AG317">
        <v>1.4</v>
      </c>
      <c r="AI317">
        <v>8.1999999999999993</v>
      </c>
      <c r="AJ317">
        <v>2.56</v>
      </c>
      <c r="AK317">
        <v>3.2</v>
      </c>
      <c r="AL317">
        <v>26.6</v>
      </c>
      <c r="AM317">
        <v>100.7</v>
      </c>
      <c r="AN317">
        <v>6.4</v>
      </c>
      <c r="AO317">
        <v>10.4</v>
      </c>
      <c r="AP317">
        <v>11.5</v>
      </c>
      <c r="AQ317">
        <v>2.9</v>
      </c>
      <c r="AR317">
        <v>1.44</v>
      </c>
      <c r="AS317">
        <v>28</v>
      </c>
      <c r="AT317">
        <v>60.2</v>
      </c>
      <c r="AU317">
        <v>65.8</v>
      </c>
      <c r="AV317">
        <v>26</v>
      </c>
      <c r="AW317">
        <v>7440</v>
      </c>
      <c r="AX317" t="s">
        <v>1124</v>
      </c>
      <c r="AY317" t="s">
        <v>1125</v>
      </c>
      <c r="AZ317">
        <v>288.5</v>
      </c>
      <c r="BA317">
        <v>39.6</v>
      </c>
      <c r="BB317">
        <v>2.9</v>
      </c>
      <c r="BC317">
        <v>3.2</v>
      </c>
      <c r="BD317">
        <v>2.4</v>
      </c>
      <c r="BE317">
        <v>3</v>
      </c>
    </row>
    <row r="318" spans="1:57" x14ac:dyDescent="0.25">
      <c r="A318" t="s">
        <v>851</v>
      </c>
      <c r="B318">
        <v>130</v>
      </c>
      <c r="C318" t="s">
        <v>145</v>
      </c>
      <c r="D318">
        <v>2</v>
      </c>
      <c r="E318" t="s">
        <v>146</v>
      </c>
      <c r="F318" t="s">
        <v>383</v>
      </c>
      <c r="G318">
        <v>902</v>
      </c>
      <c r="H318">
        <v>0</v>
      </c>
      <c r="I318">
        <v>1</v>
      </c>
      <c r="J318">
        <v>0</v>
      </c>
      <c r="K318" t="s">
        <v>170</v>
      </c>
      <c r="L318" t="s">
        <v>1100</v>
      </c>
      <c r="M318" t="s">
        <v>1063</v>
      </c>
      <c r="N318">
        <v>1</v>
      </c>
      <c r="P318" t="s">
        <v>239</v>
      </c>
      <c r="Q318">
        <v>5.6</v>
      </c>
      <c r="R318">
        <v>7.431</v>
      </c>
      <c r="S318">
        <v>5.87</v>
      </c>
      <c r="T318">
        <v>24.7</v>
      </c>
      <c r="U318">
        <v>5.6</v>
      </c>
      <c r="V318">
        <v>101</v>
      </c>
      <c r="W318">
        <v>100.1</v>
      </c>
      <c r="X318">
        <v>0.6</v>
      </c>
      <c r="Y318">
        <v>-1</v>
      </c>
      <c r="Z318">
        <v>0.3</v>
      </c>
      <c r="AB318">
        <v>4.4000000000000004</v>
      </c>
      <c r="AC318">
        <v>161</v>
      </c>
      <c r="AD318">
        <v>0.87</v>
      </c>
      <c r="AE318">
        <v>112</v>
      </c>
      <c r="AF318" t="s">
        <v>756</v>
      </c>
      <c r="AG318">
        <v>0.5</v>
      </c>
      <c r="AI318">
        <v>12.9</v>
      </c>
      <c r="AJ318">
        <v>2.78</v>
      </c>
      <c r="AK318">
        <v>4.9000000000000004</v>
      </c>
      <c r="AL318">
        <v>28.5</v>
      </c>
      <c r="AM318">
        <v>100.7</v>
      </c>
      <c r="AN318">
        <v>19.399999999999999</v>
      </c>
      <c r="AO318">
        <v>23.8</v>
      </c>
      <c r="AP318">
        <v>12.3</v>
      </c>
      <c r="AQ318">
        <v>4.4000000000000004</v>
      </c>
      <c r="AR318">
        <v>0.89</v>
      </c>
      <c r="AS318">
        <v>29.2</v>
      </c>
      <c r="AT318">
        <v>61.9</v>
      </c>
      <c r="AU318">
        <v>68.599999999999994</v>
      </c>
      <c r="AV318">
        <v>27.5</v>
      </c>
      <c r="AW318">
        <v>7462</v>
      </c>
      <c r="AX318" t="s">
        <v>814</v>
      </c>
      <c r="AY318" t="s">
        <v>1152</v>
      </c>
      <c r="AZ318">
        <v>326.2</v>
      </c>
      <c r="BA318">
        <v>37.1</v>
      </c>
      <c r="BB318">
        <v>4.4000000000000004</v>
      </c>
      <c r="BC318">
        <v>4.9000000000000004</v>
      </c>
      <c r="BD318">
        <v>4.4000000000000004</v>
      </c>
      <c r="BE318">
        <v>4.9000000000000004</v>
      </c>
    </row>
    <row r="319" spans="1:57" x14ac:dyDescent="0.25">
      <c r="A319" t="s">
        <v>731</v>
      </c>
      <c r="B319">
        <v>153</v>
      </c>
      <c r="C319" t="s">
        <v>584</v>
      </c>
      <c r="D319">
        <v>3</v>
      </c>
      <c r="E319" t="s">
        <v>142</v>
      </c>
      <c r="F319" t="s">
        <v>383</v>
      </c>
      <c r="G319">
        <v>777</v>
      </c>
      <c r="H319">
        <v>1</v>
      </c>
      <c r="I319">
        <v>1</v>
      </c>
      <c r="J319">
        <v>0</v>
      </c>
      <c r="K319" t="s">
        <v>439</v>
      </c>
      <c r="L319" t="s">
        <v>1100</v>
      </c>
      <c r="M319" t="s">
        <v>1063</v>
      </c>
      <c r="N319">
        <v>1</v>
      </c>
      <c r="P319" t="s">
        <v>440</v>
      </c>
      <c r="Q319">
        <v>3.7</v>
      </c>
      <c r="R319">
        <v>7.298</v>
      </c>
      <c r="S319">
        <v>8.33</v>
      </c>
      <c r="T319">
        <v>4.0199999999999996</v>
      </c>
      <c r="U319">
        <v>3.7</v>
      </c>
      <c r="V319">
        <v>68.7</v>
      </c>
      <c r="W319">
        <v>66.400000000000006</v>
      </c>
      <c r="X319">
        <v>2.7</v>
      </c>
      <c r="Y319">
        <v>30.2</v>
      </c>
      <c r="Z319">
        <v>0.7</v>
      </c>
      <c r="AB319">
        <v>4.7</v>
      </c>
      <c r="AC319">
        <v>152</v>
      </c>
      <c r="AD319">
        <v>1.08</v>
      </c>
      <c r="AE319">
        <v>109</v>
      </c>
      <c r="AF319" t="s">
        <v>752</v>
      </c>
      <c r="AG319">
        <v>1.8</v>
      </c>
      <c r="AI319">
        <v>5.6</v>
      </c>
      <c r="AJ319">
        <v>2.97</v>
      </c>
      <c r="AK319">
        <v>4.0999999999999996</v>
      </c>
      <c r="AL319">
        <v>27.5</v>
      </c>
      <c r="AM319">
        <v>100.5</v>
      </c>
      <c r="AN319">
        <v>12.3</v>
      </c>
      <c r="AO319">
        <v>17</v>
      </c>
      <c r="AP319">
        <v>8</v>
      </c>
      <c r="AQ319">
        <v>3.8</v>
      </c>
      <c r="AR319">
        <v>1.02</v>
      </c>
      <c r="AS319">
        <v>30.6</v>
      </c>
      <c r="AT319">
        <v>68.599999999999994</v>
      </c>
      <c r="AU319">
        <v>72.8</v>
      </c>
      <c r="AV319">
        <v>18.2</v>
      </c>
      <c r="AW319">
        <v>7448</v>
      </c>
      <c r="AX319" t="s">
        <v>1136</v>
      </c>
      <c r="AY319" t="s">
        <v>1137</v>
      </c>
      <c r="AZ319">
        <v>308.8</v>
      </c>
      <c r="BA319">
        <v>50.4</v>
      </c>
      <c r="BB319">
        <v>3.8</v>
      </c>
      <c r="BC319">
        <v>4.0999999999999996</v>
      </c>
      <c r="BD319">
        <v>3.4</v>
      </c>
      <c r="BE319">
        <v>3.8</v>
      </c>
    </row>
    <row r="320" spans="1:57" x14ac:dyDescent="0.25">
      <c r="A320" t="s">
        <v>707</v>
      </c>
      <c r="B320">
        <v>164</v>
      </c>
      <c r="C320" t="s">
        <v>51</v>
      </c>
      <c r="D320">
        <v>3</v>
      </c>
      <c r="E320" t="s">
        <v>71</v>
      </c>
      <c r="F320" t="s">
        <v>382</v>
      </c>
      <c r="G320">
        <v>993</v>
      </c>
      <c r="H320">
        <v>0</v>
      </c>
      <c r="I320">
        <v>0</v>
      </c>
      <c r="J320">
        <v>0</v>
      </c>
      <c r="K320" t="s">
        <v>424</v>
      </c>
      <c r="L320" t="s">
        <v>1100</v>
      </c>
      <c r="M320" t="s">
        <v>1063</v>
      </c>
      <c r="N320">
        <v>1</v>
      </c>
      <c r="P320" t="s">
        <v>249</v>
      </c>
      <c r="Q320">
        <v>4.7</v>
      </c>
      <c r="R320">
        <v>7.5170000000000003</v>
      </c>
      <c r="S320">
        <v>4.4400000000000004</v>
      </c>
      <c r="T320">
        <v>9.32</v>
      </c>
      <c r="U320">
        <v>4.7</v>
      </c>
      <c r="V320">
        <v>104.2</v>
      </c>
      <c r="W320">
        <v>100.7</v>
      </c>
      <c r="X320">
        <v>3.3</v>
      </c>
      <c r="Y320">
        <v>-4.0999999999999996</v>
      </c>
      <c r="Z320">
        <v>0.1</v>
      </c>
      <c r="AB320">
        <v>4.8</v>
      </c>
      <c r="AC320">
        <v>210</v>
      </c>
      <c r="AD320">
        <v>0.65</v>
      </c>
      <c r="AE320">
        <v>150</v>
      </c>
      <c r="AF320" t="s">
        <v>708</v>
      </c>
      <c r="AG320">
        <v>1</v>
      </c>
      <c r="AK320">
        <v>4.0999999999999996</v>
      </c>
      <c r="AM320">
        <v>100.5</v>
      </c>
      <c r="AN320">
        <v>33.700000000000003</v>
      </c>
      <c r="AO320">
        <v>38.5</v>
      </c>
      <c r="AP320">
        <v>10.199999999999999</v>
      </c>
      <c r="AQ320">
        <v>3.9</v>
      </c>
      <c r="AR320">
        <v>0.7</v>
      </c>
      <c r="AS320">
        <v>27</v>
      </c>
      <c r="AU320">
        <v>62.8</v>
      </c>
      <c r="AV320">
        <v>23.3</v>
      </c>
      <c r="AW320">
        <v>7457</v>
      </c>
      <c r="AX320" t="s">
        <v>1126</v>
      </c>
      <c r="AY320" t="s">
        <v>1127</v>
      </c>
      <c r="AZ320">
        <v>429.2</v>
      </c>
      <c r="BA320">
        <v>30.4</v>
      </c>
      <c r="BB320">
        <v>3.9</v>
      </c>
      <c r="BC320">
        <v>4.0999999999999996</v>
      </c>
    </row>
    <row r="321" spans="1:57" x14ac:dyDescent="0.25">
      <c r="A321" t="s">
        <v>646</v>
      </c>
      <c r="B321">
        <v>155</v>
      </c>
      <c r="C321" t="s">
        <v>80</v>
      </c>
      <c r="D321">
        <v>3</v>
      </c>
      <c r="E321" t="s">
        <v>40</v>
      </c>
      <c r="F321" t="s">
        <v>383</v>
      </c>
      <c r="G321">
        <v>885</v>
      </c>
      <c r="H321">
        <v>0</v>
      </c>
      <c r="I321">
        <v>1</v>
      </c>
      <c r="J321">
        <v>1</v>
      </c>
      <c r="K321" t="s">
        <v>436</v>
      </c>
      <c r="L321" t="s">
        <v>1100</v>
      </c>
      <c r="M321" t="s">
        <v>1063</v>
      </c>
      <c r="N321">
        <v>1</v>
      </c>
      <c r="P321" t="s">
        <v>253</v>
      </c>
      <c r="Q321">
        <v>3.4</v>
      </c>
      <c r="R321">
        <v>7.1550000000000002</v>
      </c>
      <c r="S321">
        <v>7</v>
      </c>
      <c r="T321">
        <v>3.13</v>
      </c>
      <c r="U321">
        <v>3.4</v>
      </c>
      <c r="V321">
        <v>54.2</v>
      </c>
      <c r="W321">
        <v>52.4</v>
      </c>
      <c r="X321">
        <v>2.4</v>
      </c>
      <c r="Y321">
        <v>44.2</v>
      </c>
      <c r="Z321">
        <v>1</v>
      </c>
      <c r="AB321">
        <v>4.3</v>
      </c>
      <c r="AC321">
        <v>169</v>
      </c>
      <c r="AD321">
        <v>0.86</v>
      </c>
      <c r="AE321">
        <v>124</v>
      </c>
      <c r="AF321" t="s">
        <v>437</v>
      </c>
      <c r="AG321">
        <v>8.6999999999999993</v>
      </c>
      <c r="AI321">
        <v>4</v>
      </c>
      <c r="AJ321">
        <v>2.92</v>
      </c>
      <c r="AK321">
        <v>-10.3</v>
      </c>
      <c r="AL321">
        <v>16.399999999999999</v>
      </c>
      <c r="AM321">
        <v>100.5</v>
      </c>
      <c r="AN321">
        <v>26.5</v>
      </c>
      <c r="AO321">
        <v>30.8</v>
      </c>
      <c r="AP321">
        <v>7.3</v>
      </c>
      <c r="AQ321">
        <v>-9.3000000000000007</v>
      </c>
      <c r="AR321">
        <v>0.75</v>
      </c>
      <c r="AS321">
        <v>18.5</v>
      </c>
      <c r="AT321">
        <v>43</v>
      </c>
      <c r="AU321">
        <v>45.1</v>
      </c>
      <c r="AV321">
        <v>16.7</v>
      </c>
      <c r="AW321">
        <v>7238</v>
      </c>
      <c r="AX321" t="s">
        <v>1120</v>
      </c>
      <c r="AY321" t="s">
        <v>1121</v>
      </c>
      <c r="BA321">
        <v>69.900000000000006</v>
      </c>
      <c r="BB321">
        <v>-9.3000000000000007</v>
      </c>
      <c r="BC321">
        <v>-10.3</v>
      </c>
      <c r="BD321">
        <v>-9.8000000000000007</v>
      </c>
      <c r="BE321">
        <v>-10.7</v>
      </c>
    </row>
    <row r="322" spans="1:57" x14ac:dyDescent="0.25">
      <c r="A322" t="s">
        <v>596</v>
      </c>
      <c r="B322">
        <v>161</v>
      </c>
      <c r="C322" t="s">
        <v>82</v>
      </c>
      <c r="D322">
        <v>3</v>
      </c>
      <c r="E322" t="s">
        <v>54</v>
      </c>
      <c r="F322" t="s">
        <v>382</v>
      </c>
      <c r="G322">
        <v>984</v>
      </c>
      <c r="H322">
        <v>0</v>
      </c>
      <c r="I322">
        <v>0</v>
      </c>
      <c r="J322">
        <v>1</v>
      </c>
      <c r="K322" t="s">
        <v>428</v>
      </c>
      <c r="L322" t="s">
        <v>1100</v>
      </c>
      <c r="M322" t="s">
        <v>1063</v>
      </c>
      <c r="N322">
        <v>1</v>
      </c>
      <c r="P322" t="s">
        <v>255</v>
      </c>
      <c r="Q322">
        <v>4.8</v>
      </c>
      <c r="R322">
        <v>7.57</v>
      </c>
      <c r="S322">
        <v>3.34</v>
      </c>
      <c r="T322">
        <v>14.4</v>
      </c>
      <c r="U322">
        <v>4.8</v>
      </c>
      <c r="V322">
        <v>105.5</v>
      </c>
      <c r="W322">
        <v>101.2</v>
      </c>
      <c r="X322">
        <v>3.3</v>
      </c>
      <c r="Y322">
        <v>-5.3</v>
      </c>
      <c r="Z322">
        <v>0.8</v>
      </c>
      <c r="AB322">
        <v>3.4</v>
      </c>
      <c r="AC322">
        <v>164</v>
      </c>
      <c r="AD322">
        <v>0.95</v>
      </c>
      <c r="AE322">
        <v>117</v>
      </c>
      <c r="AF322" t="s">
        <v>909</v>
      </c>
      <c r="AG322">
        <v>2.6</v>
      </c>
      <c r="AK322">
        <v>0.9</v>
      </c>
      <c r="AM322">
        <v>100.5</v>
      </c>
      <c r="AN322">
        <v>24.2</v>
      </c>
      <c r="AO322">
        <v>27.6</v>
      </c>
      <c r="AP322">
        <v>10.3</v>
      </c>
      <c r="AQ322">
        <v>1.2</v>
      </c>
      <c r="AR322">
        <v>1.04</v>
      </c>
      <c r="AS322">
        <v>23</v>
      </c>
      <c r="AU322">
        <v>53.2</v>
      </c>
      <c r="AV322">
        <v>23.7</v>
      </c>
      <c r="AW322">
        <v>7420</v>
      </c>
      <c r="AX322" t="s">
        <v>1103</v>
      </c>
      <c r="AY322" t="s">
        <v>1104</v>
      </c>
      <c r="AZ322">
        <v>358.9</v>
      </c>
      <c r="BA322">
        <v>26.9</v>
      </c>
      <c r="BB322">
        <v>1.2</v>
      </c>
      <c r="BC322">
        <v>0.9</v>
      </c>
    </row>
    <row r="323" spans="1:57" x14ac:dyDescent="0.25">
      <c r="A323" t="s">
        <v>796</v>
      </c>
      <c r="B323">
        <v>159</v>
      </c>
      <c r="C323" t="s">
        <v>62</v>
      </c>
      <c r="D323">
        <v>3</v>
      </c>
      <c r="E323" t="s">
        <v>146</v>
      </c>
      <c r="F323" t="s">
        <v>383</v>
      </c>
      <c r="G323">
        <v>1219</v>
      </c>
      <c r="H323">
        <v>0</v>
      </c>
      <c r="I323">
        <v>1</v>
      </c>
      <c r="J323">
        <v>0</v>
      </c>
      <c r="K323" t="s">
        <v>431</v>
      </c>
      <c r="L323" t="s">
        <v>1100</v>
      </c>
      <c r="M323" t="s">
        <v>1063</v>
      </c>
      <c r="N323">
        <v>1</v>
      </c>
      <c r="P323" t="s">
        <v>432</v>
      </c>
      <c r="Q323">
        <v>4.5999999999999996</v>
      </c>
      <c r="R323">
        <v>7.1779999999999999</v>
      </c>
      <c r="S323">
        <v>10.5</v>
      </c>
      <c r="T323">
        <v>3.89</v>
      </c>
      <c r="U323">
        <v>4.5999999999999996</v>
      </c>
      <c r="V323">
        <v>53.9</v>
      </c>
      <c r="W323">
        <v>52.1</v>
      </c>
      <c r="X323">
        <v>2.4</v>
      </c>
      <c r="Y323">
        <v>44.6</v>
      </c>
      <c r="Z323">
        <v>0.9</v>
      </c>
      <c r="AB323">
        <v>4.8</v>
      </c>
      <c r="AC323">
        <v>144</v>
      </c>
      <c r="AD323">
        <v>1.46</v>
      </c>
      <c r="AE323">
        <v>104</v>
      </c>
      <c r="AF323" t="s">
        <v>1158</v>
      </c>
      <c r="AG323">
        <v>5.3</v>
      </c>
      <c r="AI323">
        <v>5.4</v>
      </c>
      <c r="AJ323">
        <v>3.67</v>
      </c>
      <c r="AK323">
        <v>0.9</v>
      </c>
      <c r="AL323">
        <v>24.2</v>
      </c>
      <c r="AM323">
        <v>100.5</v>
      </c>
      <c r="AN323">
        <v>10.9</v>
      </c>
      <c r="AO323">
        <v>15.7</v>
      </c>
      <c r="AP323">
        <v>9.9</v>
      </c>
      <c r="AQ323">
        <v>0.4</v>
      </c>
      <c r="AR323">
        <v>1.29</v>
      </c>
      <c r="AS323">
        <v>29.3</v>
      </c>
      <c r="AT323">
        <v>66.599999999999994</v>
      </c>
      <c r="AU323">
        <v>71</v>
      </c>
      <c r="AV323">
        <v>22.6</v>
      </c>
      <c r="AW323">
        <v>7395</v>
      </c>
      <c r="AX323" t="s">
        <v>1159</v>
      </c>
      <c r="AY323" t="s">
        <v>1160</v>
      </c>
      <c r="AZ323">
        <v>292.89999999999998</v>
      </c>
      <c r="BA323">
        <v>66.400000000000006</v>
      </c>
      <c r="BB323">
        <v>0.4</v>
      </c>
      <c r="BC323">
        <v>0.9</v>
      </c>
      <c r="BD323">
        <v>-0.3</v>
      </c>
      <c r="BE323">
        <v>0.5</v>
      </c>
    </row>
    <row r="324" spans="1:57" x14ac:dyDescent="0.25">
      <c r="A324" t="s">
        <v>801</v>
      </c>
      <c r="B324">
        <v>157</v>
      </c>
      <c r="C324" t="s">
        <v>64</v>
      </c>
      <c r="D324">
        <v>3</v>
      </c>
      <c r="E324" t="s">
        <v>146</v>
      </c>
      <c r="F324" t="s">
        <v>382</v>
      </c>
      <c r="G324">
        <v>849</v>
      </c>
      <c r="H324">
        <v>0</v>
      </c>
      <c r="I324">
        <v>1</v>
      </c>
      <c r="J324">
        <v>0</v>
      </c>
      <c r="K324" t="s">
        <v>435</v>
      </c>
      <c r="L324" t="s">
        <v>1100</v>
      </c>
      <c r="M324" t="s">
        <v>1063</v>
      </c>
      <c r="N324">
        <v>1</v>
      </c>
      <c r="P324" t="s">
        <v>261</v>
      </c>
      <c r="Q324">
        <v>4.2</v>
      </c>
      <c r="R324">
        <v>7.5170000000000003</v>
      </c>
      <c r="S324">
        <v>4.33</v>
      </c>
      <c r="T324">
        <v>12.3</v>
      </c>
      <c r="U324">
        <v>4.2</v>
      </c>
      <c r="V324">
        <v>105.2</v>
      </c>
      <c r="W324">
        <v>101.1</v>
      </c>
      <c r="X324">
        <v>3.4</v>
      </c>
      <c r="Y324">
        <v>-5</v>
      </c>
      <c r="Z324">
        <v>0.5</v>
      </c>
      <c r="AB324">
        <v>4.0999999999999996</v>
      </c>
      <c r="AC324">
        <v>155</v>
      </c>
      <c r="AD324">
        <v>1.22</v>
      </c>
      <c r="AE324">
        <v>116</v>
      </c>
      <c r="AF324" t="s">
        <v>956</v>
      </c>
      <c r="AG324">
        <v>0.9</v>
      </c>
      <c r="AK324">
        <v>3.4</v>
      </c>
      <c r="AM324">
        <v>100.5</v>
      </c>
      <c r="AN324">
        <v>13.3</v>
      </c>
      <c r="AO324">
        <v>17.399999999999999</v>
      </c>
      <c r="AP324">
        <v>9</v>
      </c>
      <c r="AQ324">
        <v>3.2</v>
      </c>
      <c r="AR324">
        <v>1.3</v>
      </c>
      <c r="AS324">
        <v>26.3</v>
      </c>
      <c r="AU324">
        <v>61.2</v>
      </c>
      <c r="AV324">
        <v>20.7</v>
      </c>
      <c r="AW324">
        <v>7448</v>
      </c>
      <c r="AX324" t="s">
        <v>1163</v>
      </c>
      <c r="AY324" t="s">
        <v>1164</v>
      </c>
      <c r="AZ324">
        <v>314.7</v>
      </c>
      <c r="BA324">
        <v>30.4</v>
      </c>
      <c r="BB324">
        <v>3.2</v>
      </c>
      <c r="BC324">
        <v>3.4</v>
      </c>
    </row>
    <row r="325" spans="1:57" x14ac:dyDescent="0.25">
      <c r="A325" t="s">
        <v>613</v>
      </c>
      <c r="B325">
        <v>165</v>
      </c>
      <c r="C325" t="s">
        <v>385</v>
      </c>
      <c r="D325">
        <v>3</v>
      </c>
      <c r="E325" t="s">
        <v>54</v>
      </c>
      <c r="F325" t="s">
        <v>383</v>
      </c>
      <c r="G325">
        <v>676</v>
      </c>
      <c r="H325">
        <v>0</v>
      </c>
      <c r="I325">
        <v>0</v>
      </c>
      <c r="J325">
        <v>1</v>
      </c>
      <c r="K325" t="s">
        <v>423</v>
      </c>
      <c r="L325" t="s">
        <v>1100</v>
      </c>
      <c r="M325" t="s">
        <v>1063</v>
      </c>
      <c r="N325">
        <v>1</v>
      </c>
      <c r="P325" t="s">
        <v>267</v>
      </c>
      <c r="Q325">
        <v>2.9</v>
      </c>
      <c r="R325">
        <v>7.4550000000000001</v>
      </c>
      <c r="S325">
        <v>5.15</v>
      </c>
      <c r="T325">
        <v>12.9</v>
      </c>
      <c r="U325">
        <v>2.9</v>
      </c>
      <c r="V325">
        <v>105.2</v>
      </c>
      <c r="W325">
        <v>100.4</v>
      </c>
      <c r="X325">
        <v>3.6</v>
      </c>
      <c r="Y325">
        <v>-5</v>
      </c>
      <c r="Z325">
        <v>1</v>
      </c>
      <c r="AB325">
        <v>3.3</v>
      </c>
      <c r="AC325">
        <v>151</v>
      </c>
      <c r="AD325">
        <v>1.19</v>
      </c>
      <c r="AE325">
        <v>111</v>
      </c>
      <c r="AF325" t="s">
        <v>1072</v>
      </c>
      <c r="AG325">
        <v>2.1</v>
      </c>
      <c r="AK325">
        <v>3.2</v>
      </c>
      <c r="AM325">
        <v>100.5</v>
      </c>
      <c r="AN325">
        <v>12.4</v>
      </c>
      <c r="AO325">
        <v>15.7</v>
      </c>
      <c r="AP325">
        <v>6.1</v>
      </c>
      <c r="AQ325">
        <v>2.9</v>
      </c>
      <c r="AR325">
        <v>1.23</v>
      </c>
      <c r="AS325">
        <v>27.1</v>
      </c>
      <c r="AU325">
        <v>63.4</v>
      </c>
      <c r="AV325">
        <v>14.1</v>
      </c>
      <c r="AW325">
        <v>7443</v>
      </c>
      <c r="AX325" t="s">
        <v>1113</v>
      </c>
      <c r="AY325" t="s">
        <v>1114</v>
      </c>
      <c r="AZ325">
        <v>336.6</v>
      </c>
      <c r="BA325">
        <v>35.1</v>
      </c>
      <c r="BB325">
        <v>2.9</v>
      </c>
      <c r="BC325">
        <v>3.2</v>
      </c>
    </row>
    <row r="326" spans="1:57" x14ac:dyDescent="0.25">
      <c r="A326" t="s">
        <v>720</v>
      </c>
      <c r="B326">
        <v>160</v>
      </c>
      <c r="C326" t="s">
        <v>68</v>
      </c>
      <c r="D326">
        <v>3</v>
      </c>
      <c r="E326" t="s">
        <v>71</v>
      </c>
      <c r="F326" t="s">
        <v>383</v>
      </c>
      <c r="G326">
        <v>637</v>
      </c>
      <c r="H326">
        <v>0</v>
      </c>
      <c r="I326">
        <v>0</v>
      </c>
      <c r="J326">
        <v>0</v>
      </c>
      <c r="K326" t="s">
        <v>429</v>
      </c>
      <c r="L326" t="s">
        <v>1100</v>
      </c>
      <c r="M326" t="s">
        <v>1063</v>
      </c>
      <c r="N326">
        <v>1</v>
      </c>
      <c r="P326" t="s">
        <v>430</v>
      </c>
      <c r="Q326">
        <v>4.4000000000000004</v>
      </c>
      <c r="R326">
        <v>7.5289999999999999</v>
      </c>
      <c r="S326">
        <v>4.2</v>
      </c>
      <c r="T326">
        <v>11.7</v>
      </c>
      <c r="U326">
        <v>4.4000000000000004</v>
      </c>
      <c r="V326">
        <v>104.9</v>
      </c>
      <c r="W326">
        <v>100.7</v>
      </c>
      <c r="X326">
        <v>3.2</v>
      </c>
      <c r="Y326">
        <v>-4.7</v>
      </c>
      <c r="Z326">
        <v>0.8</v>
      </c>
      <c r="AB326">
        <v>5.0999999999999996</v>
      </c>
      <c r="AC326">
        <v>145</v>
      </c>
      <c r="AD326">
        <v>1.36</v>
      </c>
      <c r="AE326">
        <v>105</v>
      </c>
      <c r="AF326" t="s">
        <v>956</v>
      </c>
      <c r="AG326">
        <v>1.5</v>
      </c>
      <c r="AK326">
        <v>3.5</v>
      </c>
      <c r="AM326">
        <v>100.5</v>
      </c>
      <c r="AN326">
        <v>14.1</v>
      </c>
      <c r="AO326">
        <v>19.2</v>
      </c>
      <c r="AP326">
        <v>9.5</v>
      </c>
      <c r="AQ326">
        <v>3.4</v>
      </c>
      <c r="AR326">
        <v>1.46</v>
      </c>
      <c r="AS326">
        <v>26.3</v>
      </c>
      <c r="AU326">
        <v>61</v>
      </c>
      <c r="AV326">
        <v>21.8</v>
      </c>
      <c r="AW326">
        <v>7450</v>
      </c>
      <c r="AX326" t="s">
        <v>1132</v>
      </c>
      <c r="AY326" t="s">
        <v>1133</v>
      </c>
      <c r="AZ326">
        <v>294.60000000000002</v>
      </c>
      <c r="BA326">
        <v>29.6</v>
      </c>
      <c r="BB326">
        <v>3.4</v>
      </c>
      <c r="BC326">
        <v>3.5</v>
      </c>
    </row>
    <row r="327" spans="1:57" x14ac:dyDescent="0.25">
      <c r="A327" t="s">
        <v>861</v>
      </c>
      <c r="B327">
        <v>158</v>
      </c>
      <c r="C327" t="s">
        <v>389</v>
      </c>
      <c r="D327">
        <v>3</v>
      </c>
      <c r="E327" t="s">
        <v>146</v>
      </c>
      <c r="F327" t="s">
        <v>382</v>
      </c>
      <c r="G327">
        <v>795</v>
      </c>
      <c r="H327">
        <v>0</v>
      </c>
      <c r="I327">
        <v>1</v>
      </c>
      <c r="J327">
        <v>0</v>
      </c>
      <c r="K327" t="s">
        <v>433</v>
      </c>
      <c r="L327" t="s">
        <v>1100</v>
      </c>
      <c r="M327" t="s">
        <v>1063</v>
      </c>
      <c r="N327">
        <v>1</v>
      </c>
      <c r="P327" t="s">
        <v>273</v>
      </c>
      <c r="Q327">
        <v>4.2</v>
      </c>
      <c r="R327">
        <v>7.202</v>
      </c>
      <c r="S327">
        <v>10.199999999999999</v>
      </c>
      <c r="T327">
        <v>4.21</v>
      </c>
      <c r="U327">
        <v>4.2</v>
      </c>
      <c r="V327">
        <v>62.5</v>
      </c>
      <c r="W327">
        <v>60.9</v>
      </c>
      <c r="X327">
        <v>2.2000000000000002</v>
      </c>
      <c r="Y327">
        <v>36.5</v>
      </c>
      <c r="Z327">
        <v>0.4</v>
      </c>
      <c r="AB327">
        <v>4.7</v>
      </c>
      <c r="AC327">
        <v>140</v>
      </c>
      <c r="AD327">
        <v>1.42</v>
      </c>
      <c r="AE327">
        <v>99</v>
      </c>
      <c r="AF327" t="s">
        <v>1165</v>
      </c>
      <c r="AG327">
        <v>4.3</v>
      </c>
      <c r="AI327">
        <v>5.8</v>
      </c>
      <c r="AJ327">
        <v>3.47</v>
      </c>
      <c r="AK327">
        <v>2</v>
      </c>
      <c r="AL327">
        <v>25.5</v>
      </c>
      <c r="AM327">
        <v>100.5</v>
      </c>
      <c r="AN327">
        <v>11.2</v>
      </c>
      <c r="AO327">
        <v>15.9</v>
      </c>
      <c r="AP327">
        <v>9.1</v>
      </c>
      <c r="AQ327">
        <v>1.6</v>
      </c>
      <c r="AR327">
        <v>1.27</v>
      </c>
      <c r="AS327">
        <v>30</v>
      </c>
      <c r="AT327">
        <v>68.2</v>
      </c>
      <c r="AU327">
        <v>72.599999999999994</v>
      </c>
      <c r="AV327">
        <v>20.7</v>
      </c>
      <c r="AW327">
        <v>7414</v>
      </c>
      <c r="AX327" t="s">
        <v>1166</v>
      </c>
      <c r="AY327" t="s">
        <v>647</v>
      </c>
      <c r="AZ327">
        <v>289.8</v>
      </c>
      <c r="BA327">
        <v>62.9</v>
      </c>
      <c r="BB327">
        <v>1.6</v>
      </c>
      <c r="BC327">
        <v>2</v>
      </c>
      <c r="BD327">
        <v>1.1000000000000001</v>
      </c>
      <c r="BE327">
        <v>1.7</v>
      </c>
    </row>
    <row r="328" spans="1:57" x14ac:dyDescent="0.25">
      <c r="A328" t="s">
        <v>703</v>
      </c>
      <c r="B328">
        <v>162</v>
      </c>
      <c r="C328" t="s">
        <v>390</v>
      </c>
      <c r="D328">
        <v>3</v>
      </c>
      <c r="E328" t="s">
        <v>71</v>
      </c>
      <c r="F328" t="s">
        <v>382</v>
      </c>
      <c r="G328">
        <v>828</v>
      </c>
      <c r="H328">
        <v>0</v>
      </c>
      <c r="I328">
        <v>0</v>
      </c>
      <c r="J328">
        <v>0</v>
      </c>
      <c r="K328" t="s">
        <v>427</v>
      </c>
      <c r="L328" t="s">
        <v>1100</v>
      </c>
      <c r="M328" t="s">
        <v>1063</v>
      </c>
      <c r="N328">
        <v>1</v>
      </c>
      <c r="P328" t="s">
        <v>275</v>
      </c>
      <c r="Q328">
        <v>3.6</v>
      </c>
      <c r="R328">
        <v>7.5839999999999996</v>
      </c>
      <c r="S328">
        <v>3.44</v>
      </c>
      <c r="T328">
        <v>7.21</v>
      </c>
      <c r="U328">
        <v>3.6</v>
      </c>
      <c r="V328">
        <v>102.9</v>
      </c>
      <c r="W328">
        <v>98.4</v>
      </c>
      <c r="X328">
        <v>3.5</v>
      </c>
      <c r="Y328">
        <v>-2.8</v>
      </c>
      <c r="Z328">
        <v>0.9</v>
      </c>
      <c r="AB328">
        <v>4.4000000000000004</v>
      </c>
      <c r="AC328">
        <v>149</v>
      </c>
      <c r="AD328">
        <v>1.07</v>
      </c>
      <c r="AE328">
        <v>106</v>
      </c>
      <c r="AF328" t="s">
        <v>1022</v>
      </c>
      <c r="AG328">
        <v>1.6</v>
      </c>
      <c r="AK328">
        <v>2.6</v>
      </c>
      <c r="AM328">
        <v>100.5</v>
      </c>
      <c r="AN328">
        <v>18.899999999999999</v>
      </c>
      <c r="AO328">
        <v>23.3</v>
      </c>
      <c r="AP328">
        <v>7.6</v>
      </c>
      <c r="AQ328">
        <v>2.2999999999999998</v>
      </c>
      <c r="AR328">
        <v>1.19</v>
      </c>
      <c r="AS328">
        <v>24.4</v>
      </c>
      <c r="AU328">
        <v>56.5</v>
      </c>
      <c r="AV328">
        <v>17.5</v>
      </c>
      <c r="AW328">
        <v>7437</v>
      </c>
      <c r="AX328" t="s">
        <v>1130</v>
      </c>
      <c r="AY328" t="s">
        <v>1131</v>
      </c>
      <c r="AZ328">
        <v>305.10000000000002</v>
      </c>
      <c r="BA328">
        <v>26</v>
      </c>
      <c r="BB328">
        <v>2.2999999999999998</v>
      </c>
      <c r="BC328">
        <v>2.6</v>
      </c>
    </row>
    <row r="329" spans="1:57" x14ac:dyDescent="0.25">
      <c r="A329" t="s">
        <v>858</v>
      </c>
      <c r="B329">
        <v>156</v>
      </c>
      <c r="C329" t="s">
        <v>384</v>
      </c>
      <c r="D329">
        <v>3</v>
      </c>
      <c r="E329" t="s">
        <v>146</v>
      </c>
      <c r="F329" t="s">
        <v>382</v>
      </c>
      <c r="G329">
        <v>702</v>
      </c>
      <c r="H329">
        <v>0</v>
      </c>
      <c r="I329">
        <v>1</v>
      </c>
      <c r="J329">
        <v>0</v>
      </c>
      <c r="K329" t="s">
        <v>434</v>
      </c>
      <c r="L329" t="s">
        <v>1100</v>
      </c>
      <c r="M329" t="s">
        <v>1063</v>
      </c>
      <c r="N329">
        <v>1</v>
      </c>
      <c r="P329" t="s">
        <v>277</v>
      </c>
      <c r="Q329">
        <v>3.5</v>
      </c>
      <c r="R329">
        <v>6.992</v>
      </c>
      <c r="S329">
        <v>10.9</v>
      </c>
      <c r="T329">
        <v>7.99</v>
      </c>
      <c r="U329">
        <v>3.5</v>
      </c>
      <c r="V329">
        <v>91.9</v>
      </c>
      <c r="W329">
        <v>88.2</v>
      </c>
      <c r="X329">
        <v>3.2</v>
      </c>
      <c r="Y329">
        <v>7.8</v>
      </c>
      <c r="Z329">
        <v>0.8</v>
      </c>
      <c r="AB329">
        <v>7.7</v>
      </c>
      <c r="AC329">
        <v>161</v>
      </c>
      <c r="AD329">
        <v>0.78</v>
      </c>
      <c r="AE329">
        <v>115</v>
      </c>
      <c r="AF329" t="s">
        <v>1155</v>
      </c>
      <c r="AG329">
        <v>1.7</v>
      </c>
      <c r="AI329">
        <v>7.2</v>
      </c>
      <c r="AJ329">
        <v>3.29</v>
      </c>
      <c r="AK329">
        <v>-11.6</v>
      </c>
      <c r="AL329">
        <v>15.8</v>
      </c>
      <c r="AM329">
        <v>100.5</v>
      </c>
      <c r="AN329">
        <v>26.2</v>
      </c>
      <c r="AO329">
        <v>33.9</v>
      </c>
      <c r="AP329">
        <v>7.6</v>
      </c>
      <c r="AQ329">
        <v>-10.6</v>
      </c>
      <c r="AR329">
        <v>0.62</v>
      </c>
      <c r="AS329">
        <v>19.8</v>
      </c>
      <c r="AT329">
        <v>47.7</v>
      </c>
      <c r="AU329">
        <v>50</v>
      </c>
      <c r="AV329">
        <v>17.5</v>
      </c>
      <c r="AW329">
        <v>7202</v>
      </c>
      <c r="AX329" t="s">
        <v>1156</v>
      </c>
      <c r="AY329" t="s">
        <v>1157</v>
      </c>
      <c r="AZ329">
        <v>376.1</v>
      </c>
      <c r="BA329">
        <v>101.9</v>
      </c>
      <c r="BB329">
        <v>-10.6</v>
      </c>
      <c r="BC329">
        <v>-11.6</v>
      </c>
      <c r="BD329">
        <v>-10.6</v>
      </c>
      <c r="BE329">
        <v>-11.7</v>
      </c>
    </row>
    <row r="330" spans="1:57" x14ac:dyDescent="0.25">
      <c r="A330" t="s">
        <v>605</v>
      </c>
      <c r="B330">
        <v>163</v>
      </c>
      <c r="C330" t="s">
        <v>202</v>
      </c>
      <c r="D330">
        <v>3</v>
      </c>
      <c r="E330" t="s">
        <v>54</v>
      </c>
      <c r="F330" t="s">
        <v>382</v>
      </c>
      <c r="G330">
        <v>908</v>
      </c>
      <c r="H330">
        <v>0</v>
      </c>
      <c r="I330">
        <v>0</v>
      </c>
      <c r="J330">
        <v>1</v>
      </c>
      <c r="K330" t="s">
        <v>425</v>
      </c>
      <c r="L330" t="s">
        <v>1100</v>
      </c>
      <c r="M330" t="s">
        <v>1063</v>
      </c>
      <c r="N330">
        <v>1</v>
      </c>
      <c r="P330" t="s">
        <v>426</v>
      </c>
      <c r="Q330">
        <v>4.4000000000000004</v>
      </c>
      <c r="R330">
        <v>7.4390000000000001</v>
      </c>
      <c r="S330">
        <v>4.99</v>
      </c>
      <c r="T330">
        <v>9.68</v>
      </c>
      <c r="U330">
        <v>4.4000000000000004</v>
      </c>
      <c r="V330">
        <v>104.2</v>
      </c>
      <c r="W330">
        <v>99.7</v>
      </c>
      <c r="X330">
        <v>3.4</v>
      </c>
      <c r="Y330">
        <v>-4</v>
      </c>
      <c r="Z330">
        <v>0.9</v>
      </c>
      <c r="AB330">
        <v>3.5</v>
      </c>
      <c r="AC330">
        <v>170</v>
      </c>
      <c r="AD330">
        <v>0.82</v>
      </c>
      <c r="AE330">
        <v>125</v>
      </c>
      <c r="AF330" t="s">
        <v>1110</v>
      </c>
      <c r="AG330">
        <v>1.6</v>
      </c>
      <c r="AK330">
        <v>1.1000000000000001</v>
      </c>
      <c r="AM330">
        <v>100.5</v>
      </c>
      <c r="AN330">
        <v>20.2</v>
      </c>
      <c r="AO330">
        <v>23.7</v>
      </c>
      <c r="AP330">
        <v>9.4</v>
      </c>
      <c r="AQ330">
        <v>1.1000000000000001</v>
      </c>
      <c r="AR330">
        <v>0.84</v>
      </c>
      <c r="AS330">
        <v>25.3</v>
      </c>
      <c r="AU330">
        <v>59.3</v>
      </c>
      <c r="AV330">
        <v>21.6</v>
      </c>
      <c r="AW330">
        <v>7417</v>
      </c>
      <c r="AX330" t="s">
        <v>1111</v>
      </c>
      <c r="AY330" t="s">
        <v>1112</v>
      </c>
      <c r="AZ330">
        <v>363.4</v>
      </c>
      <c r="BA330">
        <v>36.4</v>
      </c>
      <c r="BB330">
        <v>1.1000000000000001</v>
      </c>
      <c r="BC330">
        <v>1.1000000000000001</v>
      </c>
    </row>
    <row r="331" spans="1:57" x14ac:dyDescent="0.25">
      <c r="A331" t="s">
        <v>978</v>
      </c>
      <c r="B331">
        <v>154</v>
      </c>
      <c r="C331" t="s">
        <v>175</v>
      </c>
      <c r="D331">
        <v>3</v>
      </c>
      <c r="E331" t="s">
        <v>142</v>
      </c>
      <c r="F331" t="s">
        <v>382</v>
      </c>
      <c r="G331">
        <v>826</v>
      </c>
      <c r="H331">
        <v>1</v>
      </c>
      <c r="I331">
        <v>1</v>
      </c>
      <c r="J331">
        <v>0</v>
      </c>
      <c r="K331" t="s">
        <v>438</v>
      </c>
      <c r="L331" t="s">
        <v>1100</v>
      </c>
      <c r="M331" t="s">
        <v>1063</v>
      </c>
      <c r="N331">
        <v>1</v>
      </c>
      <c r="P331" t="s">
        <v>263</v>
      </c>
      <c r="Q331">
        <v>4.2</v>
      </c>
      <c r="R331">
        <v>7.1929999999999996</v>
      </c>
      <c r="S331">
        <v>9.73</v>
      </c>
      <c r="T331">
        <v>3.44</v>
      </c>
      <c r="U331">
        <v>4.2</v>
      </c>
      <c r="V331">
        <v>53.4</v>
      </c>
      <c r="W331">
        <v>52</v>
      </c>
      <c r="X331">
        <v>2</v>
      </c>
      <c r="Y331">
        <v>45.3</v>
      </c>
      <c r="Z331">
        <v>0.7</v>
      </c>
      <c r="AB331">
        <v>4.7</v>
      </c>
      <c r="AC331">
        <v>174</v>
      </c>
      <c r="AD331">
        <v>0.81</v>
      </c>
      <c r="AE331">
        <v>116</v>
      </c>
      <c r="AF331" t="s">
        <v>844</v>
      </c>
      <c r="AG331">
        <v>4.0999999999999996</v>
      </c>
      <c r="AI331">
        <v>4.9000000000000004</v>
      </c>
      <c r="AJ331">
        <v>3.26</v>
      </c>
      <c r="AK331">
        <v>-0.1</v>
      </c>
      <c r="AL331">
        <v>23.7</v>
      </c>
      <c r="AM331">
        <v>100.5</v>
      </c>
      <c r="AN331">
        <v>30.3</v>
      </c>
      <c r="AO331">
        <v>35</v>
      </c>
      <c r="AP331">
        <v>9.1</v>
      </c>
      <c r="AQ331">
        <v>-0.3</v>
      </c>
      <c r="AR331">
        <v>0.72</v>
      </c>
      <c r="AS331">
        <v>28.1</v>
      </c>
      <c r="AT331">
        <v>64</v>
      </c>
      <c r="AU331">
        <v>67.900000000000006</v>
      </c>
      <c r="AV331">
        <v>20.6</v>
      </c>
      <c r="AW331">
        <v>7387</v>
      </c>
      <c r="AX331" t="s">
        <v>914</v>
      </c>
      <c r="AY331" t="s">
        <v>1138</v>
      </c>
      <c r="AZ331">
        <v>352.4</v>
      </c>
      <c r="BA331">
        <v>64.099999999999994</v>
      </c>
      <c r="BB331">
        <v>-0.3</v>
      </c>
      <c r="BC331">
        <v>-0.1</v>
      </c>
      <c r="BD331">
        <v>-0.9</v>
      </c>
      <c r="BE331">
        <v>-0.5</v>
      </c>
    </row>
  </sheetData>
  <sortState xmlns:xlrd2="http://schemas.microsoft.com/office/spreadsheetml/2017/richdata2" ref="A2:BC331">
    <sortCondition ref="L2:L331"/>
    <sortCondition ref="D2:D331"/>
    <sortCondition ref="C2:C331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E290"/>
  <sheetViews>
    <sheetView workbookViewId="0">
      <selection activeCell="G290" sqref="G290"/>
    </sheetView>
  </sheetViews>
  <sheetFormatPr defaultRowHeight="15" x14ac:dyDescent="0.25"/>
  <cols>
    <col min="1" max="3" width="8.85546875"/>
    <col min="4" max="4" width="13.5703125" bestFit="1" customWidth="1"/>
    <col min="5" max="5" width="5.7109375" style="35" customWidth="1"/>
    <col min="6" max="6" width="7.28515625" style="35" customWidth="1"/>
    <col min="7" max="7" width="8.85546875" style="35"/>
    <col min="8" max="31" width="8.85546875"/>
  </cols>
  <sheetData>
    <row r="1" spans="1:31" x14ac:dyDescent="0.25">
      <c r="A1" t="s">
        <v>366</v>
      </c>
      <c r="B1" t="s">
        <v>1</v>
      </c>
      <c r="C1" t="s">
        <v>0</v>
      </c>
      <c r="D1" t="s">
        <v>2</v>
      </c>
      <c r="E1" s="35" t="s">
        <v>367</v>
      </c>
      <c r="F1" s="35" t="s">
        <v>399</v>
      </c>
      <c r="G1" s="35" t="s">
        <v>3</v>
      </c>
      <c r="H1" t="s">
        <v>400</v>
      </c>
      <c r="I1" t="s">
        <v>401</v>
      </c>
      <c r="J1" t="s">
        <v>402</v>
      </c>
      <c r="K1" t="s">
        <v>403</v>
      </c>
      <c r="L1" t="s">
        <v>404</v>
      </c>
      <c r="M1" t="s">
        <v>405</v>
      </c>
      <c r="N1" t="s">
        <v>406</v>
      </c>
      <c r="O1" t="s">
        <v>407</v>
      </c>
      <c r="P1" t="s">
        <v>408</v>
      </c>
      <c r="Q1" t="s">
        <v>409</v>
      </c>
      <c r="R1" t="s">
        <v>410</v>
      </c>
      <c r="S1" t="s">
        <v>411</v>
      </c>
      <c r="T1" t="s">
        <v>412</v>
      </c>
      <c r="U1" t="s">
        <v>413</v>
      </c>
      <c r="V1" t="s">
        <v>414</v>
      </c>
      <c r="W1" t="s">
        <v>415</v>
      </c>
      <c r="X1" t="s">
        <v>1449</v>
      </c>
      <c r="Y1" t="s">
        <v>1450</v>
      </c>
      <c r="Z1" t="s">
        <v>1451</v>
      </c>
      <c r="AA1" t="s">
        <v>1452</v>
      </c>
      <c r="AB1" t="s">
        <v>1453</v>
      </c>
      <c r="AC1" t="s">
        <v>1454</v>
      </c>
      <c r="AD1" t="s">
        <v>416</v>
      </c>
      <c r="AE1" t="s">
        <v>1455</v>
      </c>
    </row>
    <row r="2" spans="1:31" x14ac:dyDescent="0.25">
      <c r="A2" t="str">
        <f t="shared" ref="A2:A17" si="0">C2&amp;B2</f>
        <v>A1</v>
      </c>
      <c r="B2">
        <v>1</v>
      </c>
      <c r="C2" s="48" t="s">
        <v>36</v>
      </c>
      <c r="D2" t="s">
        <v>417</v>
      </c>
      <c r="E2" s="35" t="s">
        <v>60</v>
      </c>
      <c r="F2" s="35">
        <v>803</v>
      </c>
      <c r="G2" s="35">
        <v>3</v>
      </c>
    </row>
    <row r="3" spans="1:31" x14ac:dyDescent="0.25">
      <c r="A3" t="str">
        <f t="shared" si="0"/>
        <v>B1</v>
      </c>
      <c r="B3">
        <v>1</v>
      </c>
      <c r="C3" s="48" t="s">
        <v>39</v>
      </c>
      <c r="D3" t="s">
        <v>418</v>
      </c>
      <c r="E3" s="35" t="s">
        <v>49</v>
      </c>
      <c r="F3" s="35">
        <v>1222</v>
      </c>
      <c r="G3" s="35">
        <v>3</v>
      </c>
      <c r="H3">
        <v>2.19</v>
      </c>
      <c r="I3">
        <v>4.57</v>
      </c>
      <c r="J3">
        <v>6.5</v>
      </c>
      <c r="K3">
        <v>0.34799999999999998</v>
      </c>
      <c r="L3">
        <v>1.42</v>
      </c>
      <c r="M3">
        <v>18.690000000000001</v>
      </c>
      <c r="N3">
        <v>371</v>
      </c>
      <c r="O3">
        <v>9.8000000000000007</v>
      </c>
      <c r="P3">
        <v>76.099999999999994</v>
      </c>
      <c r="Q3">
        <v>215</v>
      </c>
      <c r="R3">
        <v>45.6</v>
      </c>
      <c r="S3">
        <v>51.5</v>
      </c>
      <c r="T3">
        <v>0.6</v>
      </c>
      <c r="U3">
        <v>2.2000000000000002</v>
      </c>
      <c r="V3">
        <v>0.1</v>
      </c>
      <c r="W3">
        <v>0</v>
      </c>
      <c r="X3">
        <v>1</v>
      </c>
      <c r="Y3">
        <v>1.1299999999999999</v>
      </c>
      <c r="Z3">
        <v>0.01</v>
      </c>
      <c r="AA3">
        <v>0.05</v>
      </c>
      <c r="AB3">
        <v>0</v>
      </c>
      <c r="AC3">
        <v>0</v>
      </c>
      <c r="AD3">
        <v>6.3</v>
      </c>
      <c r="AE3">
        <v>287.8</v>
      </c>
    </row>
    <row r="4" spans="1:31" x14ac:dyDescent="0.25">
      <c r="A4" t="str">
        <f t="shared" si="0"/>
        <v>C1</v>
      </c>
      <c r="B4">
        <v>1</v>
      </c>
      <c r="C4" s="48" t="s">
        <v>43</v>
      </c>
      <c r="D4" t="s">
        <v>419</v>
      </c>
      <c r="E4" s="35" t="s">
        <v>49</v>
      </c>
      <c r="F4" s="35">
        <v>1065.9000000000001</v>
      </c>
      <c r="G4" s="35">
        <v>3</v>
      </c>
      <c r="H4">
        <v>2.0499999999999998</v>
      </c>
      <c r="I4">
        <v>4.28</v>
      </c>
      <c r="J4">
        <v>6.2</v>
      </c>
      <c r="K4">
        <v>0.32500000000000001</v>
      </c>
      <c r="L4">
        <v>1.47</v>
      </c>
      <c r="M4">
        <v>19.170000000000002</v>
      </c>
      <c r="N4">
        <v>331</v>
      </c>
      <c r="O4">
        <v>10.4</v>
      </c>
      <c r="P4">
        <v>75.8</v>
      </c>
      <c r="Q4">
        <v>224</v>
      </c>
      <c r="R4">
        <v>35.799999999999997</v>
      </c>
      <c r="S4">
        <v>61.6</v>
      </c>
      <c r="T4">
        <v>0.4</v>
      </c>
      <c r="U4">
        <v>2.1</v>
      </c>
      <c r="V4">
        <v>0.1</v>
      </c>
      <c r="W4">
        <v>0</v>
      </c>
      <c r="X4">
        <v>0.74</v>
      </c>
      <c r="Y4">
        <v>1.26</v>
      </c>
      <c r="Z4">
        <v>0.01</v>
      </c>
      <c r="AA4">
        <v>0.04</v>
      </c>
      <c r="AB4">
        <v>0</v>
      </c>
      <c r="AC4">
        <v>0</v>
      </c>
      <c r="AD4">
        <v>8.1</v>
      </c>
      <c r="AE4">
        <v>344.8</v>
      </c>
    </row>
    <row r="5" spans="1:31" x14ac:dyDescent="0.25">
      <c r="A5" t="str">
        <f t="shared" si="0"/>
        <v>D1</v>
      </c>
      <c r="B5">
        <v>1</v>
      </c>
      <c r="C5" s="48" t="s">
        <v>45</v>
      </c>
      <c r="D5" t="s">
        <v>419</v>
      </c>
      <c r="E5" s="35" t="s">
        <v>49</v>
      </c>
      <c r="F5" s="35">
        <v>1224</v>
      </c>
      <c r="G5" s="35">
        <v>3</v>
      </c>
    </row>
    <row r="6" spans="1:31" x14ac:dyDescent="0.25">
      <c r="A6" t="str">
        <f t="shared" si="0"/>
        <v>E1</v>
      </c>
      <c r="B6">
        <v>1</v>
      </c>
      <c r="C6" s="48" t="s">
        <v>47</v>
      </c>
      <c r="D6" t="s">
        <v>419</v>
      </c>
      <c r="E6" s="35" t="s">
        <v>60</v>
      </c>
      <c r="F6" s="35">
        <v>1174</v>
      </c>
      <c r="G6" s="35">
        <v>3</v>
      </c>
      <c r="H6">
        <v>3.96</v>
      </c>
      <c r="I6">
        <v>4.58</v>
      </c>
      <c r="J6">
        <v>6.7</v>
      </c>
      <c r="K6">
        <v>0.36799999999999999</v>
      </c>
      <c r="L6">
        <v>1.45</v>
      </c>
      <c r="M6">
        <v>18.079999999999998</v>
      </c>
      <c r="N6">
        <v>369</v>
      </c>
      <c r="O6">
        <v>11</v>
      </c>
      <c r="P6">
        <v>80.400000000000006</v>
      </c>
      <c r="Q6">
        <v>226</v>
      </c>
      <c r="R6">
        <v>42.3</v>
      </c>
      <c r="S6">
        <v>56.4</v>
      </c>
      <c r="T6">
        <v>0.2</v>
      </c>
      <c r="U6">
        <v>0.9</v>
      </c>
      <c r="V6">
        <v>0.01</v>
      </c>
      <c r="W6">
        <v>0</v>
      </c>
      <c r="X6">
        <v>1.68</v>
      </c>
      <c r="Y6">
        <v>2.2400000000000002</v>
      </c>
      <c r="Z6">
        <v>0.01</v>
      </c>
      <c r="AA6">
        <v>0.04</v>
      </c>
      <c r="AB6">
        <v>0</v>
      </c>
      <c r="AC6">
        <v>0</v>
      </c>
      <c r="AD6">
        <v>6.4</v>
      </c>
      <c r="AE6">
        <v>293.60000000000002</v>
      </c>
    </row>
    <row r="7" spans="1:31" x14ac:dyDescent="0.25">
      <c r="A7" t="str">
        <f t="shared" si="0"/>
        <v>F1</v>
      </c>
      <c r="B7">
        <v>1</v>
      </c>
      <c r="C7" s="48" t="s">
        <v>49</v>
      </c>
      <c r="D7" t="s">
        <v>418</v>
      </c>
      <c r="E7" s="35" t="s">
        <v>49</v>
      </c>
      <c r="F7" s="35">
        <v>1038.5</v>
      </c>
      <c r="G7" s="35">
        <v>3</v>
      </c>
      <c r="H7">
        <v>1.84</v>
      </c>
      <c r="I7">
        <v>3.89</v>
      </c>
      <c r="J7">
        <v>5.7</v>
      </c>
      <c r="K7">
        <v>0.308</v>
      </c>
      <c r="L7">
        <v>1.46</v>
      </c>
      <c r="M7">
        <v>18.46</v>
      </c>
      <c r="N7">
        <v>225</v>
      </c>
      <c r="O7">
        <v>11.1</v>
      </c>
      <c r="P7">
        <v>79.099999999999994</v>
      </c>
      <c r="Q7">
        <v>225</v>
      </c>
      <c r="R7">
        <v>33.9</v>
      </c>
      <c r="S7">
        <v>56.3</v>
      </c>
      <c r="T7">
        <v>0.9</v>
      </c>
      <c r="U7">
        <v>9</v>
      </c>
      <c r="V7">
        <v>0</v>
      </c>
      <c r="W7">
        <v>0</v>
      </c>
      <c r="X7">
        <v>0.62</v>
      </c>
      <c r="Y7">
        <v>1.04</v>
      </c>
      <c r="Z7">
        <v>0.02</v>
      </c>
      <c r="AA7">
        <v>0.17</v>
      </c>
      <c r="AB7">
        <v>0</v>
      </c>
      <c r="AC7">
        <v>0</v>
      </c>
      <c r="AD7">
        <v>6.4</v>
      </c>
      <c r="AE7">
        <v>249.6</v>
      </c>
    </row>
    <row r="8" spans="1:31" x14ac:dyDescent="0.25">
      <c r="A8" t="str">
        <f t="shared" si="0"/>
        <v>G1</v>
      </c>
      <c r="B8">
        <v>1</v>
      </c>
      <c r="C8" s="48" t="s">
        <v>51</v>
      </c>
      <c r="D8" t="s">
        <v>419</v>
      </c>
      <c r="E8" s="35" t="s">
        <v>49</v>
      </c>
      <c r="F8" s="35">
        <v>932.1</v>
      </c>
      <c r="G8" s="35">
        <v>3</v>
      </c>
      <c r="H8">
        <v>2.31</v>
      </c>
      <c r="I8">
        <v>4.9000000000000004</v>
      </c>
      <c r="J8">
        <v>6.8</v>
      </c>
      <c r="K8">
        <v>0.35499999999999998</v>
      </c>
      <c r="L8">
        <v>1.38</v>
      </c>
      <c r="M8">
        <v>19.05</v>
      </c>
      <c r="N8">
        <v>361</v>
      </c>
      <c r="O8">
        <v>11.4</v>
      </c>
      <c r="P8">
        <v>72.400000000000006</v>
      </c>
      <c r="Q8">
        <v>218</v>
      </c>
      <c r="R8">
        <v>27.7</v>
      </c>
      <c r="S8">
        <v>69.8</v>
      </c>
      <c r="T8">
        <v>0.6</v>
      </c>
      <c r="U8">
        <v>1.7</v>
      </c>
      <c r="V8">
        <v>0.3</v>
      </c>
      <c r="W8">
        <v>0</v>
      </c>
      <c r="X8">
        <v>0.64</v>
      </c>
      <c r="Y8">
        <v>1.61</v>
      </c>
      <c r="Z8">
        <v>0.01</v>
      </c>
      <c r="AA8">
        <v>0.04</v>
      </c>
      <c r="AB8">
        <v>0.01</v>
      </c>
      <c r="AC8">
        <v>0</v>
      </c>
      <c r="AD8">
        <v>5.9</v>
      </c>
      <c r="AE8">
        <v>288.8</v>
      </c>
    </row>
    <row r="9" spans="1:31" x14ac:dyDescent="0.25">
      <c r="A9" t="str">
        <f t="shared" si="0"/>
        <v>H1</v>
      </c>
      <c r="B9">
        <v>1</v>
      </c>
      <c r="C9" s="48" t="s">
        <v>53</v>
      </c>
      <c r="D9" t="s">
        <v>421</v>
      </c>
      <c r="E9" s="35" t="s">
        <v>60</v>
      </c>
      <c r="F9" s="35">
        <v>1165</v>
      </c>
      <c r="G9" s="35">
        <v>3</v>
      </c>
      <c r="H9">
        <v>2.4300000000000002</v>
      </c>
      <c r="I9">
        <v>4.05</v>
      </c>
      <c r="J9">
        <v>6.1</v>
      </c>
      <c r="K9">
        <v>0.29899999999999999</v>
      </c>
      <c r="L9">
        <v>1.51</v>
      </c>
      <c r="M9">
        <v>20.51</v>
      </c>
      <c r="N9">
        <v>218</v>
      </c>
      <c r="O9">
        <v>12.6</v>
      </c>
      <c r="P9">
        <v>73.900000000000006</v>
      </c>
      <c r="Q9">
        <v>178</v>
      </c>
      <c r="R9">
        <v>25.8</v>
      </c>
      <c r="S9">
        <v>67.7</v>
      </c>
      <c r="T9">
        <v>1.3</v>
      </c>
      <c r="U9">
        <v>5.2</v>
      </c>
      <c r="V9">
        <v>0.1</v>
      </c>
      <c r="W9">
        <v>0</v>
      </c>
      <c r="X9">
        <v>0.63</v>
      </c>
      <c r="Y9">
        <v>1.64</v>
      </c>
      <c r="Z9">
        <v>0.03</v>
      </c>
      <c r="AA9">
        <v>1.1299999999999999</v>
      </c>
      <c r="AB9">
        <v>0</v>
      </c>
      <c r="AC9">
        <v>0</v>
      </c>
      <c r="AD9">
        <v>3.6</v>
      </c>
      <c r="AE9">
        <v>145.19999999999999</v>
      </c>
    </row>
    <row r="10" spans="1:31" x14ac:dyDescent="0.25">
      <c r="A10" t="str">
        <f t="shared" si="0"/>
        <v>I1</v>
      </c>
      <c r="B10">
        <v>1</v>
      </c>
      <c r="C10" s="48" t="s">
        <v>56</v>
      </c>
      <c r="D10" t="s">
        <v>418</v>
      </c>
      <c r="E10" s="35" t="s">
        <v>60</v>
      </c>
      <c r="F10" s="35">
        <v>1075</v>
      </c>
      <c r="G10" s="35">
        <v>3</v>
      </c>
      <c r="H10">
        <v>1.19</v>
      </c>
      <c r="I10">
        <v>4.87</v>
      </c>
      <c r="J10">
        <v>7</v>
      </c>
      <c r="K10">
        <v>0.38300000000000001</v>
      </c>
      <c r="L10">
        <v>1.44</v>
      </c>
      <c r="M10">
        <v>18.399999999999999</v>
      </c>
      <c r="N10">
        <v>228</v>
      </c>
      <c r="O10">
        <v>12</v>
      </c>
      <c r="P10">
        <v>78.5</v>
      </c>
      <c r="Q10">
        <v>223</v>
      </c>
      <c r="R10">
        <v>57.3</v>
      </c>
      <c r="S10">
        <v>24.3</v>
      </c>
      <c r="T10">
        <v>0.4</v>
      </c>
      <c r="U10">
        <v>17.600000000000001</v>
      </c>
      <c r="V10">
        <v>0.4</v>
      </c>
      <c r="W10">
        <v>0</v>
      </c>
      <c r="X10">
        <v>0.68</v>
      </c>
      <c r="Y10">
        <v>0.28999999999999998</v>
      </c>
      <c r="Z10">
        <v>0</v>
      </c>
      <c r="AA10">
        <v>0.21</v>
      </c>
      <c r="AB10">
        <v>0.01</v>
      </c>
      <c r="AC10">
        <v>0</v>
      </c>
      <c r="AD10">
        <v>5.6</v>
      </c>
      <c r="AE10">
        <v>275.39999999999998</v>
      </c>
    </row>
    <row r="11" spans="1:31" x14ac:dyDescent="0.25">
      <c r="A11" t="str">
        <f t="shared" si="0"/>
        <v>J1</v>
      </c>
      <c r="B11">
        <v>1</v>
      </c>
      <c r="C11" s="48" t="s">
        <v>80</v>
      </c>
      <c r="D11" t="s">
        <v>417</v>
      </c>
      <c r="E11" s="35" t="s">
        <v>60</v>
      </c>
      <c r="F11" s="35">
        <v>1324.5</v>
      </c>
      <c r="G11" s="35">
        <v>3</v>
      </c>
      <c r="H11">
        <v>2.61</v>
      </c>
      <c r="I11">
        <v>3.26</v>
      </c>
      <c r="J11">
        <v>5</v>
      </c>
      <c r="K11">
        <v>0.25700000000000001</v>
      </c>
      <c r="L11">
        <v>1.54</v>
      </c>
      <c r="M11">
        <v>19.45</v>
      </c>
      <c r="N11">
        <v>253</v>
      </c>
      <c r="O11">
        <v>10.6</v>
      </c>
      <c r="P11">
        <v>78.900000000000006</v>
      </c>
      <c r="Q11">
        <v>212</v>
      </c>
      <c r="R11">
        <v>65.400000000000006</v>
      </c>
      <c r="S11">
        <v>32.1</v>
      </c>
      <c r="T11">
        <v>0.3</v>
      </c>
      <c r="U11">
        <v>2.1</v>
      </c>
      <c r="V11">
        <v>0</v>
      </c>
      <c r="W11">
        <v>0</v>
      </c>
      <c r="X11">
        <v>1.71</v>
      </c>
      <c r="Y11">
        <v>0.84</v>
      </c>
      <c r="Z11">
        <v>0.01</v>
      </c>
      <c r="AA11">
        <v>0.05</v>
      </c>
      <c r="AB11">
        <v>0</v>
      </c>
      <c r="AC11">
        <v>0</v>
      </c>
      <c r="AD11">
        <v>8.4</v>
      </c>
      <c r="AE11">
        <v>274</v>
      </c>
    </row>
    <row r="12" spans="1:31" x14ac:dyDescent="0.25">
      <c r="A12" t="str">
        <f t="shared" si="0"/>
        <v>K1</v>
      </c>
      <c r="B12">
        <v>1</v>
      </c>
      <c r="C12" s="48" t="s">
        <v>82</v>
      </c>
      <c r="D12" t="s">
        <v>420</v>
      </c>
      <c r="E12" s="35" t="s">
        <v>60</v>
      </c>
      <c r="F12" s="35">
        <v>1206.8</v>
      </c>
      <c r="G12" s="35">
        <v>3</v>
      </c>
      <c r="H12">
        <v>2.62</v>
      </c>
      <c r="I12">
        <v>4.3099999999999996</v>
      </c>
      <c r="J12">
        <v>6</v>
      </c>
      <c r="K12">
        <v>0.312</v>
      </c>
      <c r="L12">
        <v>1.38</v>
      </c>
      <c r="M12">
        <v>19.100000000000001</v>
      </c>
      <c r="N12">
        <v>336</v>
      </c>
      <c r="O12">
        <v>10.3</v>
      </c>
      <c r="P12">
        <v>72.3</v>
      </c>
      <c r="Q12">
        <v>224</v>
      </c>
      <c r="R12">
        <v>18.3</v>
      </c>
      <c r="S12">
        <v>75.099999999999994</v>
      </c>
      <c r="T12">
        <v>0.7</v>
      </c>
      <c r="U12">
        <v>5.9</v>
      </c>
      <c r="V12">
        <v>0.1</v>
      </c>
      <c r="W12">
        <v>0</v>
      </c>
      <c r="X12">
        <v>0.48</v>
      </c>
      <c r="Y12">
        <v>1.97</v>
      </c>
      <c r="Z12">
        <v>0.02</v>
      </c>
      <c r="AA12">
        <v>0.15</v>
      </c>
      <c r="AB12">
        <v>0</v>
      </c>
      <c r="AC12">
        <v>0</v>
      </c>
      <c r="AD12">
        <v>5.9</v>
      </c>
      <c r="AE12">
        <v>255.3</v>
      </c>
    </row>
    <row r="13" spans="1:31" x14ac:dyDescent="0.25">
      <c r="A13" t="str">
        <f t="shared" si="0"/>
        <v>L1</v>
      </c>
      <c r="B13">
        <v>1</v>
      </c>
      <c r="C13" s="48" t="s">
        <v>58</v>
      </c>
      <c r="D13" t="s">
        <v>421</v>
      </c>
      <c r="E13" s="35" t="s">
        <v>49</v>
      </c>
      <c r="F13" s="35">
        <v>1129</v>
      </c>
      <c r="G13" s="35">
        <v>3</v>
      </c>
      <c r="H13">
        <v>2.56</v>
      </c>
      <c r="I13">
        <v>4.57</v>
      </c>
      <c r="J13">
        <v>6.7</v>
      </c>
      <c r="K13">
        <v>0.36199999999999999</v>
      </c>
      <c r="L13">
        <v>1.47</v>
      </c>
      <c r="M13">
        <v>18.489999999999998</v>
      </c>
      <c r="N13">
        <v>454</v>
      </c>
      <c r="O13">
        <v>9.6999999999999993</v>
      </c>
      <c r="P13">
        <v>79.400000000000006</v>
      </c>
      <c r="Q13">
        <v>214</v>
      </c>
      <c r="R13">
        <v>38.6</v>
      </c>
      <c r="S13">
        <v>58.6</v>
      </c>
      <c r="T13">
        <v>0.7</v>
      </c>
      <c r="U13">
        <v>2.1</v>
      </c>
      <c r="V13">
        <v>0</v>
      </c>
      <c r="W13">
        <v>0</v>
      </c>
      <c r="X13">
        <v>0.99</v>
      </c>
      <c r="Y13">
        <v>1.5</v>
      </c>
      <c r="Z13">
        <v>0.02</v>
      </c>
      <c r="AA13">
        <v>0.05</v>
      </c>
      <c r="AB13">
        <v>0</v>
      </c>
      <c r="AC13">
        <v>0</v>
      </c>
      <c r="AD13">
        <v>6.9</v>
      </c>
      <c r="AE13">
        <v>314.60000000000002</v>
      </c>
    </row>
    <row r="14" spans="1:31" x14ac:dyDescent="0.25">
      <c r="A14" t="str">
        <f t="shared" si="0"/>
        <v>M1</v>
      </c>
      <c r="B14">
        <v>1</v>
      </c>
      <c r="C14" s="48" t="s">
        <v>60</v>
      </c>
      <c r="D14" t="s">
        <v>417</v>
      </c>
      <c r="E14" s="35" t="s">
        <v>49</v>
      </c>
      <c r="F14" s="35">
        <v>1191</v>
      </c>
      <c r="G14" s="35">
        <v>3</v>
      </c>
      <c r="H14">
        <v>1.37</v>
      </c>
      <c r="I14">
        <v>4.9400000000000004</v>
      </c>
      <c r="J14">
        <v>6.5</v>
      </c>
      <c r="K14">
        <v>0.33800000000000002</v>
      </c>
      <c r="L14">
        <v>1.31</v>
      </c>
      <c r="M14">
        <v>19.2</v>
      </c>
      <c r="N14">
        <v>301</v>
      </c>
      <c r="O14">
        <v>10.199999999999999</v>
      </c>
      <c r="P14">
        <v>68.400000000000006</v>
      </c>
      <c r="Q14">
        <v>219</v>
      </c>
      <c r="R14">
        <v>32.799999999999997</v>
      </c>
      <c r="S14">
        <v>64.5</v>
      </c>
      <c r="T14">
        <v>0.1</v>
      </c>
      <c r="U14">
        <v>2.6</v>
      </c>
      <c r="V14">
        <v>0</v>
      </c>
      <c r="W14">
        <v>0</v>
      </c>
      <c r="X14">
        <v>0.45</v>
      </c>
      <c r="Y14">
        <v>0.88</v>
      </c>
      <c r="Z14">
        <v>0</v>
      </c>
      <c r="AA14">
        <v>0.04</v>
      </c>
      <c r="AB14">
        <v>0</v>
      </c>
      <c r="AC14">
        <v>0</v>
      </c>
      <c r="AD14">
        <v>6.5</v>
      </c>
      <c r="AE14">
        <v>321.7</v>
      </c>
    </row>
    <row r="15" spans="1:31" x14ac:dyDescent="0.25">
      <c r="A15" t="str">
        <f t="shared" si="0"/>
        <v>N1</v>
      </c>
      <c r="B15">
        <v>1</v>
      </c>
      <c r="C15" s="48" t="s">
        <v>62</v>
      </c>
      <c r="D15" t="s">
        <v>418</v>
      </c>
      <c r="E15" s="35" t="s">
        <v>60</v>
      </c>
      <c r="F15" s="35">
        <v>1468</v>
      </c>
      <c r="G15" s="35">
        <v>3</v>
      </c>
      <c r="H15">
        <v>0.81</v>
      </c>
      <c r="I15">
        <v>3.45</v>
      </c>
      <c r="J15">
        <v>5</v>
      </c>
      <c r="K15">
        <v>0.26800000000000002</v>
      </c>
      <c r="L15">
        <v>1.46</v>
      </c>
      <c r="M15">
        <v>18.8</v>
      </c>
      <c r="N15">
        <v>242</v>
      </c>
      <c r="O15">
        <v>10.5</v>
      </c>
      <c r="P15">
        <v>77.5</v>
      </c>
      <c r="Q15">
        <v>222</v>
      </c>
      <c r="R15">
        <v>19</v>
      </c>
      <c r="S15">
        <v>75</v>
      </c>
      <c r="T15">
        <v>0</v>
      </c>
      <c r="U15">
        <v>5.5</v>
      </c>
      <c r="V15">
        <v>0.5</v>
      </c>
      <c r="W15">
        <v>0</v>
      </c>
      <c r="X15">
        <v>0.15</v>
      </c>
      <c r="Y15">
        <v>0.61</v>
      </c>
      <c r="Z15">
        <v>0</v>
      </c>
      <c r="AA15">
        <v>0.05</v>
      </c>
      <c r="AB15">
        <v>0</v>
      </c>
      <c r="AC15">
        <v>0</v>
      </c>
      <c r="AD15">
        <v>7</v>
      </c>
      <c r="AE15">
        <v>242.2</v>
      </c>
    </row>
    <row r="16" spans="1:31" x14ac:dyDescent="0.25">
      <c r="A16" t="str">
        <f t="shared" si="0"/>
        <v>O1</v>
      </c>
      <c r="B16">
        <v>1</v>
      </c>
      <c r="C16" s="48" t="s">
        <v>64</v>
      </c>
      <c r="D16" t="s">
        <v>419</v>
      </c>
      <c r="E16" s="35" t="s">
        <v>60</v>
      </c>
      <c r="F16" s="35">
        <v>1314.8</v>
      </c>
      <c r="G16" s="35">
        <v>3</v>
      </c>
      <c r="H16">
        <v>2.6</v>
      </c>
      <c r="I16">
        <v>4.6399999999999997</v>
      </c>
      <c r="J16">
        <v>6.8</v>
      </c>
      <c r="K16">
        <v>0.33500000000000002</v>
      </c>
      <c r="L16">
        <v>1.48</v>
      </c>
      <c r="M16">
        <v>20.440000000000001</v>
      </c>
      <c r="N16">
        <v>302</v>
      </c>
      <c r="O16">
        <v>11</v>
      </c>
      <c r="P16">
        <v>72.2</v>
      </c>
      <c r="Q16">
        <v>230</v>
      </c>
      <c r="R16">
        <v>46.3</v>
      </c>
      <c r="S16">
        <v>48.7</v>
      </c>
      <c r="T16">
        <v>0.9</v>
      </c>
      <c r="U16">
        <v>4</v>
      </c>
      <c r="V16">
        <v>0.1</v>
      </c>
      <c r="W16">
        <v>0</v>
      </c>
      <c r="X16">
        <v>1.2</v>
      </c>
      <c r="Y16">
        <v>1.26</v>
      </c>
      <c r="Z16">
        <v>0.02</v>
      </c>
      <c r="AA16">
        <v>0.1</v>
      </c>
      <c r="AB16">
        <v>0</v>
      </c>
      <c r="AC16">
        <v>0</v>
      </c>
      <c r="AD16">
        <v>0.6</v>
      </c>
      <c r="AE16">
        <v>277.3</v>
      </c>
    </row>
    <row r="17" spans="1:31" x14ac:dyDescent="0.25">
      <c r="A17" t="str">
        <f t="shared" si="0"/>
        <v>P1</v>
      </c>
      <c r="B17">
        <v>1</v>
      </c>
      <c r="C17" s="48" t="s">
        <v>66</v>
      </c>
      <c r="D17" t="s">
        <v>417</v>
      </c>
      <c r="E17" s="35" t="s">
        <v>60</v>
      </c>
      <c r="F17" s="35">
        <v>981</v>
      </c>
      <c r="G17" s="35">
        <v>3</v>
      </c>
      <c r="H17">
        <v>2.4900000000000002</v>
      </c>
      <c r="I17">
        <v>4.68</v>
      </c>
      <c r="J17">
        <v>6.9</v>
      </c>
      <c r="K17">
        <v>0.372</v>
      </c>
      <c r="L17">
        <v>1.48</v>
      </c>
      <c r="M17">
        <v>18.600000000000001</v>
      </c>
      <c r="N17">
        <v>343</v>
      </c>
      <c r="O17">
        <v>11.5</v>
      </c>
      <c r="P17">
        <v>79.599999999999994</v>
      </c>
      <c r="Q17">
        <v>211</v>
      </c>
      <c r="R17">
        <v>43.4</v>
      </c>
      <c r="S17">
        <v>54.5</v>
      </c>
      <c r="T17">
        <v>0.5</v>
      </c>
      <c r="U17">
        <v>1.4</v>
      </c>
      <c r="V17">
        <v>0.1</v>
      </c>
      <c r="W17">
        <v>0.1</v>
      </c>
      <c r="X17">
        <v>1.08</v>
      </c>
      <c r="Y17">
        <v>1.35</v>
      </c>
      <c r="Z17">
        <v>0.01</v>
      </c>
      <c r="AA17">
        <v>0.04</v>
      </c>
      <c r="AB17">
        <v>0</v>
      </c>
      <c r="AC17">
        <v>0</v>
      </c>
      <c r="AD17">
        <v>8.7799999999999994</v>
      </c>
      <c r="AE17">
        <v>407.2</v>
      </c>
    </row>
    <row r="18" spans="1:31" x14ac:dyDescent="0.25">
      <c r="C18" s="48"/>
    </row>
    <row r="19" spans="1:31" x14ac:dyDescent="0.25">
      <c r="A19" t="str">
        <f t="shared" ref="A19:A48" si="1">C19&amp;B19</f>
        <v>R1</v>
      </c>
      <c r="B19">
        <v>1</v>
      </c>
      <c r="C19" s="48" t="s">
        <v>68</v>
      </c>
      <c r="D19" t="s">
        <v>417</v>
      </c>
      <c r="E19" s="35" t="s">
        <v>49</v>
      </c>
      <c r="F19" s="35">
        <v>988.2</v>
      </c>
      <c r="G19" s="35">
        <v>3</v>
      </c>
      <c r="H19">
        <v>2.9</v>
      </c>
      <c r="I19">
        <v>2.76</v>
      </c>
      <c r="J19">
        <v>4.3</v>
      </c>
      <c r="K19">
        <v>0.21199999999999999</v>
      </c>
      <c r="L19">
        <v>1.56</v>
      </c>
      <c r="M19">
        <v>20.27</v>
      </c>
      <c r="N19">
        <v>311</v>
      </c>
      <c r="O19">
        <v>10.9</v>
      </c>
      <c r="P19">
        <v>76.8</v>
      </c>
      <c r="Q19">
        <v>208</v>
      </c>
      <c r="R19">
        <v>60.1</v>
      </c>
      <c r="S19">
        <v>35.6</v>
      </c>
      <c r="T19">
        <v>0.4</v>
      </c>
      <c r="U19">
        <v>3.8</v>
      </c>
      <c r="V19">
        <v>0</v>
      </c>
      <c r="W19">
        <v>0</v>
      </c>
      <c r="X19">
        <v>1.75</v>
      </c>
      <c r="Y19">
        <v>1.03</v>
      </c>
      <c r="Z19">
        <v>0.01</v>
      </c>
      <c r="AA19">
        <v>0.11</v>
      </c>
      <c r="AB19">
        <v>0</v>
      </c>
      <c r="AC19">
        <v>0</v>
      </c>
      <c r="AD19">
        <v>6.4</v>
      </c>
      <c r="AE19">
        <v>176</v>
      </c>
    </row>
    <row r="20" spans="1:31" x14ac:dyDescent="0.25">
      <c r="A20" t="str">
        <f t="shared" si="1"/>
        <v>S1</v>
      </c>
      <c r="B20">
        <v>1</v>
      </c>
      <c r="C20" s="48" t="s">
        <v>70</v>
      </c>
      <c r="D20" t="s">
        <v>420</v>
      </c>
      <c r="E20" s="35" t="s">
        <v>49</v>
      </c>
      <c r="F20" s="35">
        <v>1004</v>
      </c>
      <c r="G20" s="35">
        <v>3</v>
      </c>
      <c r="H20">
        <v>2.88</v>
      </c>
      <c r="I20">
        <v>4.32</v>
      </c>
      <c r="J20">
        <v>7.3</v>
      </c>
      <c r="K20">
        <v>0.375</v>
      </c>
      <c r="L20">
        <v>1.68</v>
      </c>
      <c r="M20">
        <v>19.399999999999999</v>
      </c>
      <c r="N20">
        <v>343</v>
      </c>
      <c r="O20">
        <v>10.3</v>
      </c>
      <c r="P20">
        <v>86.8</v>
      </c>
      <c r="Q20">
        <v>222</v>
      </c>
      <c r="R20">
        <v>26.8</v>
      </c>
      <c r="S20">
        <v>71.099999999999994</v>
      </c>
      <c r="T20">
        <v>0.6</v>
      </c>
      <c r="U20">
        <v>1.5</v>
      </c>
      <c r="V20">
        <v>0</v>
      </c>
      <c r="W20">
        <v>0</v>
      </c>
      <c r="X20">
        <v>0.77</v>
      </c>
      <c r="Y20">
        <v>2.04</v>
      </c>
      <c r="Z20">
        <v>0.02</v>
      </c>
      <c r="AA20">
        <v>0.04</v>
      </c>
      <c r="AB20">
        <v>0</v>
      </c>
      <c r="AC20">
        <v>0</v>
      </c>
      <c r="AD20">
        <v>6.1</v>
      </c>
      <c r="AE20">
        <v>262.7</v>
      </c>
    </row>
    <row r="21" spans="1:31" x14ac:dyDescent="0.25">
      <c r="A21" t="str">
        <f t="shared" si="1"/>
        <v>A2</v>
      </c>
      <c r="B21">
        <v>2</v>
      </c>
      <c r="C21" s="48" t="s">
        <v>36</v>
      </c>
      <c r="D21" t="s">
        <v>417</v>
      </c>
      <c r="E21" s="35" t="s">
        <v>60</v>
      </c>
      <c r="F21" s="35">
        <v>1210</v>
      </c>
      <c r="G21" s="35">
        <v>3</v>
      </c>
      <c r="H21">
        <v>1.72</v>
      </c>
      <c r="I21">
        <v>4.0199999999999996</v>
      </c>
      <c r="J21">
        <v>6.2</v>
      </c>
      <c r="K21">
        <v>0.33300000000000002</v>
      </c>
      <c r="L21">
        <v>1.55</v>
      </c>
      <c r="M21">
        <v>18.77</v>
      </c>
      <c r="N21">
        <v>392</v>
      </c>
      <c r="O21">
        <v>9.9</v>
      </c>
      <c r="P21">
        <v>82.7</v>
      </c>
      <c r="Q21">
        <v>205</v>
      </c>
      <c r="R21">
        <v>40.9</v>
      </c>
      <c r="S21">
        <v>56.3</v>
      </c>
      <c r="T21">
        <v>0.4</v>
      </c>
      <c r="U21">
        <v>2.5</v>
      </c>
      <c r="V21">
        <v>0</v>
      </c>
      <c r="W21">
        <v>0</v>
      </c>
      <c r="X21">
        <v>0.7</v>
      </c>
      <c r="Y21">
        <v>0.97</v>
      </c>
      <c r="Z21">
        <v>0.01</v>
      </c>
      <c r="AA21">
        <v>0.04</v>
      </c>
      <c r="AB21">
        <v>0</v>
      </c>
      <c r="AC21">
        <v>0</v>
      </c>
      <c r="AD21">
        <v>8.6999999999999993</v>
      </c>
      <c r="AE21">
        <v>350.9</v>
      </c>
    </row>
    <row r="22" spans="1:31" x14ac:dyDescent="0.25">
      <c r="A22" t="str">
        <f t="shared" si="1"/>
        <v>B2</v>
      </c>
      <c r="B22">
        <v>2</v>
      </c>
      <c r="C22" s="48" t="s">
        <v>39</v>
      </c>
      <c r="D22" t="s">
        <v>417</v>
      </c>
      <c r="E22" s="35" t="s">
        <v>49</v>
      </c>
      <c r="F22" s="35">
        <v>1015</v>
      </c>
      <c r="G22" s="35">
        <v>3</v>
      </c>
      <c r="H22">
        <v>3.51</v>
      </c>
      <c r="I22">
        <v>5.24</v>
      </c>
      <c r="J22">
        <v>7.1</v>
      </c>
      <c r="K22">
        <v>0.39100000000000001</v>
      </c>
      <c r="L22">
        <v>1.36</v>
      </c>
      <c r="M22">
        <v>18.18</v>
      </c>
      <c r="N22">
        <v>371</v>
      </c>
      <c r="O22">
        <v>11.6</v>
      </c>
      <c r="P22">
        <v>74.7</v>
      </c>
      <c r="Q22">
        <v>218</v>
      </c>
      <c r="R22">
        <v>60.8</v>
      </c>
      <c r="S22">
        <v>38.1</v>
      </c>
      <c r="T22">
        <v>0.2</v>
      </c>
      <c r="U22">
        <v>0.7</v>
      </c>
      <c r="V22">
        <v>0.1</v>
      </c>
      <c r="W22">
        <v>0</v>
      </c>
      <c r="X22">
        <v>2.14</v>
      </c>
      <c r="Y22">
        <v>1.34</v>
      </c>
      <c r="Z22">
        <v>0.01</v>
      </c>
      <c r="AA22">
        <v>0.03</v>
      </c>
      <c r="AB22">
        <v>0</v>
      </c>
      <c r="AC22">
        <v>0</v>
      </c>
      <c r="AD22">
        <v>7.6</v>
      </c>
      <c r="AE22">
        <v>400.5</v>
      </c>
    </row>
    <row r="23" spans="1:31" x14ac:dyDescent="0.25">
      <c r="A23" t="str">
        <f t="shared" si="1"/>
        <v>C2</v>
      </c>
      <c r="B23">
        <v>2</v>
      </c>
      <c r="C23" s="48" t="s">
        <v>43</v>
      </c>
      <c r="D23" t="s">
        <v>417</v>
      </c>
      <c r="E23" s="35" t="s">
        <v>49</v>
      </c>
      <c r="F23" s="35">
        <v>1210</v>
      </c>
      <c r="G23" s="35">
        <v>3</v>
      </c>
    </row>
    <row r="24" spans="1:31" x14ac:dyDescent="0.25">
      <c r="A24" t="str">
        <f t="shared" si="1"/>
        <v>D2</v>
      </c>
      <c r="B24">
        <v>2</v>
      </c>
      <c r="C24" s="48" t="s">
        <v>45</v>
      </c>
      <c r="D24" t="s">
        <v>419</v>
      </c>
      <c r="E24" s="35" t="s">
        <v>49</v>
      </c>
      <c r="F24" s="35">
        <v>1041</v>
      </c>
      <c r="G24" s="35">
        <v>3</v>
      </c>
      <c r="H24">
        <v>3.73</v>
      </c>
      <c r="I24">
        <v>3.11</v>
      </c>
      <c r="J24">
        <v>4.3</v>
      </c>
      <c r="K24">
        <v>0.22900000000000001</v>
      </c>
      <c r="L24">
        <v>1.4</v>
      </c>
      <c r="M24">
        <v>18.97</v>
      </c>
      <c r="N24">
        <v>271</v>
      </c>
      <c r="O24">
        <v>11.6</v>
      </c>
      <c r="P24">
        <v>73.7</v>
      </c>
      <c r="Q24">
        <v>202</v>
      </c>
      <c r="R24">
        <v>56.9</v>
      </c>
      <c r="S24">
        <v>41.8</v>
      </c>
      <c r="T24">
        <v>0</v>
      </c>
      <c r="U24">
        <v>1.1000000000000001</v>
      </c>
      <c r="V24">
        <v>0.1</v>
      </c>
      <c r="W24">
        <v>0</v>
      </c>
      <c r="X24">
        <v>2.12</v>
      </c>
      <c r="Y24">
        <v>1.56</v>
      </c>
      <c r="Z24">
        <v>0</v>
      </c>
      <c r="AA24">
        <v>0.04</v>
      </c>
      <c r="AB24">
        <v>0.01</v>
      </c>
      <c r="AC24">
        <v>0</v>
      </c>
      <c r="AD24">
        <v>7.6</v>
      </c>
      <c r="AE24">
        <v>236.2</v>
      </c>
    </row>
    <row r="25" spans="1:31" x14ac:dyDescent="0.25">
      <c r="A25" t="str">
        <f t="shared" si="1"/>
        <v>E2</v>
      </c>
      <c r="B25">
        <v>2</v>
      </c>
      <c r="C25" s="48" t="s">
        <v>47</v>
      </c>
      <c r="D25" t="s">
        <v>419</v>
      </c>
      <c r="E25" s="35" t="s">
        <v>49</v>
      </c>
      <c r="F25" s="35">
        <v>1260.5999999999999</v>
      </c>
      <c r="G25" s="35">
        <v>3</v>
      </c>
      <c r="H25">
        <v>3.29</v>
      </c>
      <c r="I25">
        <v>5.3</v>
      </c>
      <c r="J25">
        <v>7.9</v>
      </c>
      <c r="K25">
        <v>0.41299999999999998</v>
      </c>
      <c r="L25">
        <v>1.48</v>
      </c>
      <c r="M25">
        <v>19.04</v>
      </c>
      <c r="N25">
        <v>401</v>
      </c>
      <c r="O25">
        <v>10.4</v>
      </c>
      <c r="P25">
        <v>77.8</v>
      </c>
      <c r="Q25">
        <v>223</v>
      </c>
      <c r="R25">
        <v>42.2</v>
      </c>
      <c r="S25">
        <v>56.4</v>
      </c>
      <c r="T25">
        <v>0.2</v>
      </c>
      <c r="U25">
        <v>1</v>
      </c>
      <c r="V25">
        <v>0.1</v>
      </c>
      <c r="W25">
        <v>0</v>
      </c>
      <c r="X25">
        <v>1.39</v>
      </c>
      <c r="Y25">
        <v>1.86</v>
      </c>
      <c r="Z25">
        <v>0.01</v>
      </c>
      <c r="AA25">
        <v>0.03</v>
      </c>
      <c r="AB25">
        <v>0</v>
      </c>
      <c r="AC25">
        <v>0</v>
      </c>
      <c r="AD25">
        <v>7.4</v>
      </c>
      <c r="AE25">
        <v>391.8</v>
      </c>
    </row>
    <row r="26" spans="1:31" x14ac:dyDescent="0.25">
      <c r="A26" t="str">
        <f t="shared" si="1"/>
        <v>F2</v>
      </c>
      <c r="B26">
        <v>2</v>
      </c>
      <c r="C26" s="48" t="s">
        <v>49</v>
      </c>
      <c r="D26" t="s">
        <v>418</v>
      </c>
      <c r="E26" s="35" t="s">
        <v>60</v>
      </c>
      <c r="F26" s="35">
        <v>1189</v>
      </c>
      <c r="G26" s="35">
        <v>3</v>
      </c>
      <c r="H26">
        <v>1.74</v>
      </c>
      <c r="I26">
        <v>4.57</v>
      </c>
      <c r="J26">
        <v>6.3</v>
      </c>
      <c r="K26">
        <v>0.36399999999999999</v>
      </c>
      <c r="L26">
        <v>1.39</v>
      </c>
      <c r="M26">
        <v>17.41</v>
      </c>
      <c r="N26">
        <v>308</v>
      </c>
      <c r="O26">
        <v>12.7</v>
      </c>
      <c r="P26">
        <v>79.8</v>
      </c>
      <c r="Q26">
        <v>218</v>
      </c>
      <c r="R26">
        <v>52.3</v>
      </c>
      <c r="S26">
        <v>46</v>
      </c>
      <c r="T26">
        <v>0.3</v>
      </c>
      <c r="U26">
        <v>1.2</v>
      </c>
      <c r="V26">
        <v>0.2</v>
      </c>
      <c r="W26">
        <v>0</v>
      </c>
      <c r="X26">
        <v>0.91</v>
      </c>
      <c r="Y26">
        <v>0.8</v>
      </c>
      <c r="Z26">
        <v>0</v>
      </c>
      <c r="AA26">
        <v>0.02</v>
      </c>
      <c r="AB26">
        <v>0</v>
      </c>
      <c r="AC26">
        <v>0</v>
      </c>
      <c r="AD26">
        <v>6</v>
      </c>
      <c r="AE26">
        <v>275.39999999999998</v>
      </c>
    </row>
    <row r="27" spans="1:31" x14ac:dyDescent="0.25">
      <c r="A27" t="str">
        <f t="shared" si="1"/>
        <v>G2</v>
      </c>
      <c r="B27">
        <v>2</v>
      </c>
      <c r="C27" s="48" t="s">
        <v>51</v>
      </c>
      <c r="D27" t="s">
        <v>421</v>
      </c>
      <c r="E27" s="35" t="s">
        <v>49</v>
      </c>
      <c r="F27" s="35">
        <v>1387</v>
      </c>
      <c r="G27" s="35">
        <v>3</v>
      </c>
      <c r="H27">
        <v>3.3</v>
      </c>
      <c r="I27">
        <v>5.09</v>
      </c>
      <c r="J27">
        <v>7</v>
      </c>
      <c r="K27">
        <v>0.39300000000000002</v>
      </c>
      <c r="L27">
        <v>1.38</v>
      </c>
      <c r="M27">
        <v>17.86</v>
      </c>
      <c r="N27">
        <v>389</v>
      </c>
      <c r="O27">
        <v>10.5</v>
      </c>
      <c r="P27">
        <v>77.2</v>
      </c>
      <c r="Q27">
        <v>217</v>
      </c>
      <c r="R27">
        <v>33.6</v>
      </c>
      <c r="S27">
        <v>64.8</v>
      </c>
      <c r="T27">
        <v>0.6</v>
      </c>
      <c r="U27">
        <v>0.8</v>
      </c>
      <c r="V27">
        <v>0.1</v>
      </c>
      <c r="W27">
        <v>0</v>
      </c>
      <c r="X27">
        <v>1.1100000000000001</v>
      </c>
      <c r="Y27">
        <v>2.14</v>
      </c>
      <c r="Z27">
        <v>0.02</v>
      </c>
      <c r="AA27">
        <v>0.03</v>
      </c>
      <c r="AB27">
        <v>0</v>
      </c>
      <c r="AC27">
        <v>0</v>
      </c>
      <c r="AD27">
        <v>6.3</v>
      </c>
      <c r="AE27">
        <v>321.60000000000002</v>
      </c>
    </row>
    <row r="28" spans="1:31" x14ac:dyDescent="0.25">
      <c r="A28" t="str">
        <f t="shared" si="1"/>
        <v>H2</v>
      </c>
      <c r="B28">
        <v>2</v>
      </c>
      <c r="C28" s="48" t="s">
        <v>53</v>
      </c>
      <c r="D28" t="s">
        <v>418</v>
      </c>
      <c r="E28" s="35" t="s">
        <v>60</v>
      </c>
      <c r="F28" s="35">
        <v>1243</v>
      </c>
      <c r="G28" s="35">
        <v>3</v>
      </c>
    </row>
    <row r="29" spans="1:31" x14ac:dyDescent="0.25">
      <c r="A29" t="str">
        <f t="shared" si="1"/>
        <v>I2</v>
      </c>
      <c r="B29">
        <v>2</v>
      </c>
      <c r="C29" s="48" t="s">
        <v>56</v>
      </c>
      <c r="D29" t="s">
        <v>421</v>
      </c>
      <c r="E29" s="35" t="s">
        <v>60</v>
      </c>
      <c r="F29" s="35">
        <v>1015.2</v>
      </c>
      <c r="G29" s="35">
        <v>3</v>
      </c>
      <c r="H29">
        <v>2.2000000000000002</v>
      </c>
      <c r="I29">
        <v>4.8</v>
      </c>
      <c r="J29">
        <v>6.5</v>
      </c>
      <c r="K29">
        <v>0.35899999999999999</v>
      </c>
      <c r="L29">
        <v>1.35</v>
      </c>
      <c r="M29">
        <v>18.079999999999998</v>
      </c>
      <c r="N29">
        <v>377</v>
      </c>
      <c r="O29">
        <v>10.6</v>
      </c>
      <c r="P29">
        <v>74.8</v>
      </c>
      <c r="Q29">
        <v>209</v>
      </c>
      <c r="R29">
        <v>30</v>
      </c>
      <c r="S29">
        <v>68.599999999999994</v>
      </c>
      <c r="T29">
        <v>0.8</v>
      </c>
      <c r="U29">
        <v>0.3</v>
      </c>
      <c r="V29">
        <v>0.3</v>
      </c>
      <c r="W29">
        <v>0</v>
      </c>
      <c r="X29">
        <v>0.66</v>
      </c>
      <c r="Y29">
        <v>1.51</v>
      </c>
      <c r="Z29">
        <v>0.02</v>
      </c>
      <c r="AA29">
        <v>0.01</v>
      </c>
      <c r="AB29">
        <v>0.01</v>
      </c>
      <c r="AC29">
        <v>0</v>
      </c>
      <c r="AD29">
        <v>6.7</v>
      </c>
      <c r="AE29">
        <v>323.89999999999998</v>
      </c>
    </row>
    <row r="30" spans="1:31" x14ac:dyDescent="0.25">
      <c r="A30" t="str">
        <f t="shared" si="1"/>
        <v>J2</v>
      </c>
      <c r="B30">
        <v>2</v>
      </c>
      <c r="C30" s="48" t="s">
        <v>80</v>
      </c>
      <c r="D30" t="s">
        <v>417</v>
      </c>
      <c r="E30" s="35" t="s">
        <v>49</v>
      </c>
      <c r="F30" s="35">
        <v>678</v>
      </c>
      <c r="G30" s="35">
        <v>3</v>
      </c>
      <c r="H30">
        <v>2.19</v>
      </c>
      <c r="I30">
        <v>5.0199999999999996</v>
      </c>
      <c r="J30">
        <v>7</v>
      </c>
      <c r="K30">
        <v>0.39600000000000002</v>
      </c>
      <c r="L30">
        <v>1.39</v>
      </c>
      <c r="M30">
        <v>17.670000000000002</v>
      </c>
      <c r="N30">
        <v>325</v>
      </c>
      <c r="O30">
        <v>11.1</v>
      </c>
      <c r="P30">
        <v>78.900000000000006</v>
      </c>
      <c r="Q30">
        <v>209</v>
      </c>
      <c r="R30">
        <v>53.7</v>
      </c>
      <c r="S30">
        <v>44.2</v>
      </c>
      <c r="T30">
        <v>0.2</v>
      </c>
      <c r="U30">
        <v>1.7</v>
      </c>
      <c r="V30">
        <v>0.2</v>
      </c>
      <c r="W30">
        <v>0</v>
      </c>
      <c r="X30">
        <v>1.18</v>
      </c>
      <c r="Y30">
        <v>0.97</v>
      </c>
      <c r="Z30">
        <v>0</v>
      </c>
      <c r="AA30">
        <v>0.04</v>
      </c>
      <c r="AB30">
        <v>0.01</v>
      </c>
      <c r="AC30">
        <v>0</v>
      </c>
      <c r="AD30">
        <v>7.3</v>
      </c>
      <c r="AE30">
        <v>366.5</v>
      </c>
    </row>
    <row r="31" spans="1:31" x14ac:dyDescent="0.25">
      <c r="A31" t="str">
        <f t="shared" si="1"/>
        <v>K2</v>
      </c>
      <c r="B31">
        <v>2</v>
      </c>
      <c r="C31" s="48" t="s">
        <v>82</v>
      </c>
      <c r="D31" t="s">
        <v>419</v>
      </c>
      <c r="E31" s="35" t="s">
        <v>60</v>
      </c>
      <c r="F31" s="35">
        <v>1405</v>
      </c>
      <c r="G31" s="35">
        <v>3</v>
      </c>
      <c r="H31">
        <v>2.7</v>
      </c>
      <c r="I31">
        <v>4.45</v>
      </c>
      <c r="J31">
        <v>6.5</v>
      </c>
      <c r="K31">
        <v>0.34599999999999997</v>
      </c>
      <c r="L31">
        <v>1.46</v>
      </c>
      <c r="M31">
        <v>18.84</v>
      </c>
      <c r="N31">
        <v>375</v>
      </c>
      <c r="O31">
        <v>10.3</v>
      </c>
      <c r="P31">
        <v>77.7</v>
      </c>
      <c r="Q31">
        <v>216</v>
      </c>
      <c r="R31">
        <v>40.6</v>
      </c>
      <c r="S31">
        <v>58.2</v>
      </c>
      <c r="T31">
        <v>0.3</v>
      </c>
      <c r="U31">
        <v>0.7</v>
      </c>
      <c r="V31">
        <v>0.1</v>
      </c>
      <c r="W31">
        <v>0</v>
      </c>
      <c r="X31">
        <v>1.1000000000000001</v>
      </c>
      <c r="Y31">
        <v>1.57</v>
      </c>
      <c r="Z31">
        <v>0.01</v>
      </c>
      <c r="AA31">
        <v>0.02</v>
      </c>
      <c r="AB31">
        <v>0</v>
      </c>
      <c r="AC31">
        <v>0</v>
      </c>
      <c r="AD31">
        <v>7.8</v>
      </c>
      <c r="AE31">
        <v>346.7</v>
      </c>
    </row>
    <row r="32" spans="1:31" x14ac:dyDescent="0.25">
      <c r="A32" t="str">
        <f t="shared" si="1"/>
        <v>L2</v>
      </c>
      <c r="B32">
        <v>2</v>
      </c>
      <c r="C32" s="48" t="s">
        <v>58</v>
      </c>
      <c r="D32" t="s">
        <v>420</v>
      </c>
      <c r="E32" s="35" t="s">
        <v>60</v>
      </c>
      <c r="F32" s="35">
        <v>1202.8</v>
      </c>
      <c r="G32" s="35">
        <v>3</v>
      </c>
      <c r="H32">
        <v>3.46</v>
      </c>
      <c r="I32">
        <v>4.7300000000000004</v>
      </c>
      <c r="J32">
        <v>7.4</v>
      </c>
      <c r="K32">
        <v>0.38800000000000001</v>
      </c>
      <c r="L32">
        <v>1.57</v>
      </c>
      <c r="M32">
        <v>19.149999999999999</v>
      </c>
      <c r="N32">
        <v>423</v>
      </c>
      <c r="O32">
        <v>9.6</v>
      </c>
      <c r="P32">
        <v>82</v>
      </c>
      <c r="Q32">
        <v>223</v>
      </c>
      <c r="R32">
        <v>26.8</v>
      </c>
      <c r="S32">
        <v>71.3</v>
      </c>
      <c r="T32">
        <v>0.6</v>
      </c>
      <c r="U32">
        <v>1.1000000000000001</v>
      </c>
      <c r="V32">
        <v>0.1</v>
      </c>
      <c r="W32">
        <v>0</v>
      </c>
      <c r="X32">
        <v>0.93</v>
      </c>
      <c r="Y32">
        <v>2.46</v>
      </c>
      <c r="Z32">
        <v>0.02</v>
      </c>
      <c r="AA32">
        <v>0.04</v>
      </c>
      <c r="AB32">
        <v>0</v>
      </c>
      <c r="AC32">
        <v>0</v>
      </c>
      <c r="AD32">
        <v>6.9</v>
      </c>
      <c r="AE32">
        <v>325.60000000000002</v>
      </c>
    </row>
    <row r="33" spans="1:31" x14ac:dyDescent="0.25">
      <c r="A33" t="str">
        <f t="shared" si="1"/>
        <v>M2</v>
      </c>
      <c r="B33">
        <v>2</v>
      </c>
      <c r="C33" s="48" t="s">
        <v>60</v>
      </c>
      <c r="D33" t="s">
        <v>417</v>
      </c>
      <c r="E33" s="35" t="s">
        <v>60</v>
      </c>
      <c r="F33" s="35">
        <v>1261</v>
      </c>
      <c r="G33" s="35">
        <v>3</v>
      </c>
      <c r="H33">
        <v>3.73</v>
      </c>
      <c r="I33">
        <v>4.78</v>
      </c>
      <c r="J33">
        <v>6.9</v>
      </c>
      <c r="K33">
        <v>0.36</v>
      </c>
      <c r="L33">
        <v>1.44</v>
      </c>
      <c r="M33">
        <v>19.09</v>
      </c>
      <c r="N33">
        <v>254</v>
      </c>
      <c r="O33">
        <v>11</v>
      </c>
      <c r="P33">
        <v>75.3</v>
      </c>
      <c r="Q33">
        <v>224</v>
      </c>
      <c r="R33">
        <v>36.700000000000003</v>
      </c>
      <c r="S33">
        <v>60.7</v>
      </c>
      <c r="T33">
        <v>0.5</v>
      </c>
      <c r="U33">
        <v>1.9</v>
      </c>
      <c r="V33">
        <v>0.1</v>
      </c>
      <c r="W33">
        <v>0</v>
      </c>
      <c r="X33">
        <v>1.37</v>
      </c>
      <c r="Y33">
        <v>2.27</v>
      </c>
      <c r="Z33">
        <v>0.02</v>
      </c>
      <c r="AA33">
        <v>7.0000000000000007E-2</v>
      </c>
      <c r="AB33">
        <v>0</v>
      </c>
      <c r="AC33">
        <v>0</v>
      </c>
      <c r="AD33">
        <v>5.5</v>
      </c>
      <c r="AE33">
        <v>265.2</v>
      </c>
    </row>
    <row r="34" spans="1:31" x14ac:dyDescent="0.25">
      <c r="A34" t="str">
        <f t="shared" si="1"/>
        <v>N2</v>
      </c>
      <c r="B34">
        <v>2</v>
      </c>
      <c r="C34" s="48" t="s">
        <v>62</v>
      </c>
      <c r="D34" t="s">
        <v>418</v>
      </c>
      <c r="E34" s="35" t="s">
        <v>60</v>
      </c>
      <c r="F34" s="35">
        <v>791</v>
      </c>
      <c r="G34" s="35">
        <v>3</v>
      </c>
      <c r="H34">
        <v>0.91</v>
      </c>
      <c r="I34">
        <v>4.29</v>
      </c>
      <c r="J34">
        <v>6.7</v>
      </c>
      <c r="K34">
        <v>0.36299999999999999</v>
      </c>
      <c r="L34">
        <v>1.56</v>
      </c>
      <c r="M34">
        <v>18.38</v>
      </c>
      <c r="N34">
        <v>360</v>
      </c>
      <c r="O34">
        <v>11.1</v>
      </c>
      <c r="P34">
        <v>84.7</v>
      </c>
      <c r="Q34">
        <v>216</v>
      </c>
      <c r="R34">
        <v>24.9</v>
      </c>
      <c r="S34">
        <v>72.099999999999994</v>
      </c>
      <c r="T34">
        <v>0.4</v>
      </c>
      <c r="U34">
        <v>2.2999999999999998</v>
      </c>
      <c r="V34">
        <v>0.1</v>
      </c>
      <c r="W34">
        <v>0.1</v>
      </c>
      <c r="X34">
        <v>0.23</v>
      </c>
      <c r="Y34">
        <v>0.66</v>
      </c>
      <c r="Z34">
        <v>0</v>
      </c>
      <c r="AA34">
        <v>0.02</v>
      </c>
      <c r="AB34">
        <v>0</v>
      </c>
      <c r="AC34">
        <v>0</v>
      </c>
      <c r="AD34">
        <v>9.6999999999999993</v>
      </c>
      <c r="AE34">
        <v>414.8</v>
      </c>
    </row>
    <row r="35" spans="1:31" x14ac:dyDescent="0.25">
      <c r="A35" t="str">
        <f t="shared" si="1"/>
        <v>O2</v>
      </c>
      <c r="B35">
        <v>2</v>
      </c>
      <c r="C35" s="48" t="s">
        <v>64</v>
      </c>
      <c r="D35" t="s">
        <v>420</v>
      </c>
      <c r="E35" s="35" t="s">
        <v>60</v>
      </c>
      <c r="F35" s="35">
        <v>1031</v>
      </c>
      <c r="G35" s="35">
        <v>3</v>
      </c>
      <c r="H35">
        <v>3.3</v>
      </c>
      <c r="I35">
        <v>4.46</v>
      </c>
      <c r="J35">
        <v>6.3</v>
      </c>
      <c r="K35">
        <v>0.33200000000000002</v>
      </c>
      <c r="L35">
        <v>1.41</v>
      </c>
      <c r="M35">
        <v>18.93</v>
      </c>
      <c r="N35">
        <v>419</v>
      </c>
      <c r="O35">
        <v>10.3</v>
      </c>
      <c r="P35">
        <v>74.400000000000006</v>
      </c>
      <c r="Q35">
        <v>217</v>
      </c>
      <c r="R35">
        <v>23.1</v>
      </c>
      <c r="S35">
        <v>75.900000000000006</v>
      </c>
      <c r="T35">
        <v>0.2</v>
      </c>
      <c r="U35">
        <v>0.7</v>
      </c>
      <c r="V35">
        <v>0.1</v>
      </c>
      <c r="W35">
        <v>0</v>
      </c>
      <c r="X35">
        <v>0.76</v>
      </c>
      <c r="Y35">
        <v>2.5</v>
      </c>
      <c r="Z35">
        <v>0.01</v>
      </c>
      <c r="AA35">
        <v>0.02</v>
      </c>
      <c r="AB35">
        <v>0</v>
      </c>
      <c r="AC35">
        <v>0</v>
      </c>
      <c r="AD35">
        <v>7.4</v>
      </c>
      <c r="AE35">
        <v>331.6</v>
      </c>
    </row>
    <row r="36" spans="1:31" x14ac:dyDescent="0.25">
      <c r="A36" t="str">
        <f t="shared" si="1"/>
        <v>P2</v>
      </c>
      <c r="B36">
        <v>2</v>
      </c>
      <c r="C36" s="48" t="s">
        <v>66</v>
      </c>
      <c r="D36" t="s">
        <v>417</v>
      </c>
      <c r="E36" s="35" t="s">
        <v>49</v>
      </c>
      <c r="F36" s="35">
        <v>1098.7</v>
      </c>
      <c r="G36" s="35">
        <v>3</v>
      </c>
      <c r="H36">
        <v>3.67</v>
      </c>
      <c r="I36">
        <v>4.72</v>
      </c>
      <c r="J36">
        <v>6.7</v>
      </c>
      <c r="K36">
        <v>0.36899999999999999</v>
      </c>
      <c r="L36">
        <v>1.43</v>
      </c>
      <c r="M36">
        <v>18.27</v>
      </c>
      <c r="N36">
        <v>371</v>
      </c>
      <c r="O36">
        <v>10.9</v>
      </c>
      <c r="P36">
        <v>78.3</v>
      </c>
      <c r="Q36">
        <v>214</v>
      </c>
      <c r="R36">
        <v>46.4</v>
      </c>
      <c r="S36">
        <v>52.1</v>
      </c>
      <c r="T36">
        <v>0.2</v>
      </c>
      <c r="U36">
        <v>1.2</v>
      </c>
      <c r="V36">
        <v>0</v>
      </c>
      <c r="W36">
        <v>0</v>
      </c>
      <c r="X36">
        <v>1.7</v>
      </c>
      <c r="Y36">
        <v>1.91</v>
      </c>
      <c r="Z36">
        <v>0.01</v>
      </c>
      <c r="AA36">
        <v>0.04</v>
      </c>
      <c r="AB36">
        <v>0</v>
      </c>
      <c r="AC36">
        <v>0</v>
      </c>
      <c r="AD36">
        <v>6.3</v>
      </c>
      <c r="AE36">
        <v>295.7</v>
      </c>
    </row>
    <row r="37" spans="1:31" x14ac:dyDescent="0.25">
      <c r="A37" t="str">
        <f t="shared" si="1"/>
        <v>Q2</v>
      </c>
      <c r="B37">
        <v>2</v>
      </c>
      <c r="C37" s="48" t="s">
        <v>385</v>
      </c>
      <c r="D37" t="s">
        <v>418</v>
      </c>
      <c r="E37" s="35" t="s">
        <v>49</v>
      </c>
      <c r="F37" s="35">
        <v>793.5</v>
      </c>
      <c r="G37" s="35">
        <v>3</v>
      </c>
      <c r="H37">
        <v>2.75</v>
      </c>
      <c r="I37">
        <v>4.4000000000000004</v>
      </c>
      <c r="J37">
        <v>5.8</v>
      </c>
      <c r="K37">
        <v>0.32100000000000001</v>
      </c>
      <c r="L37">
        <v>1.33</v>
      </c>
      <c r="M37">
        <v>18.22</v>
      </c>
      <c r="N37">
        <v>355</v>
      </c>
      <c r="O37">
        <v>11.5</v>
      </c>
      <c r="P37">
        <v>72.900000000000006</v>
      </c>
      <c r="Q37">
        <v>215</v>
      </c>
      <c r="R37">
        <v>58.6</v>
      </c>
      <c r="S37">
        <v>39.6</v>
      </c>
      <c r="T37">
        <v>0.4</v>
      </c>
      <c r="U37">
        <v>1.3</v>
      </c>
      <c r="V37">
        <v>0.2</v>
      </c>
      <c r="W37">
        <v>0</v>
      </c>
      <c r="X37">
        <v>1.61</v>
      </c>
      <c r="Y37">
        <v>1.0900000000000001</v>
      </c>
      <c r="Z37">
        <v>0.01</v>
      </c>
      <c r="AA37">
        <v>0.04</v>
      </c>
      <c r="AB37">
        <v>0.01</v>
      </c>
      <c r="AC37">
        <v>0</v>
      </c>
      <c r="AD37">
        <v>6.7</v>
      </c>
      <c r="AE37">
        <v>293</v>
      </c>
    </row>
    <row r="38" spans="1:31" x14ac:dyDescent="0.25">
      <c r="A38" t="str">
        <f t="shared" si="1"/>
        <v>R2</v>
      </c>
      <c r="B38">
        <v>2</v>
      </c>
      <c r="C38" s="48" t="s">
        <v>68</v>
      </c>
      <c r="D38" t="s">
        <v>418</v>
      </c>
      <c r="E38" s="35" t="s">
        <v>49</v>
      </c>
      <c r="F38" s="35">
        <v>1303</v>
      </c>
      <c r="G38" s="35">
        <v>3</v>
      </c>
      <c r="H38">
        <v>1.99</v>
      </c>
      <c r="I38">
        <v>4.7</v>
      </c>
      <c r="J38">
        <v>6.8</v>
      </c>
      <c r="K38">
        <v>0.36799999999999999</v>
      </c>
      <c r="L38">
        <v>1.45</v>
      </c>
      <c r="M38">
        <v>18.59</v>
      </c>
      <c r="N38">
        <v>374</v>
      </c>
      <c r="O38">
        <v>10.1</v>
      </c>
      <c r="P38">
        <v>78.2</v>
      </c>
      <c r="Q38">
        <v>222</v>
      </c>
      <c r="R38">
        <v>40.299999999999997</v>
      </c>
      <c r="S38">
        <v>56.2</v>
      </c>
      <c r="T38">
        <v>0.2</v>
      </c>
      <c r="U38">
        <v>3.3</v>
      </c>
      <c r="V38">
        <v>0.1</v>
      </c>
      <c r="W38">
        <v>0</v>
      </c>
      <c r="X38">
        <v>0.8</v>
      </c>
      <c r="Y38">
        <v>1.1200000000000001</v>
      </c>
      <c r="Z38">
        <v>0</v>
      </c>
      <c r="AA38">
        <v>7.0000000000000007E-2</v>
      </c>
      <c r="AB38">
        <v>0</v>
      </c>
      <c r="AC38">
        <v>0</v>
      </c>
      <c r="AD38">
        <v>7.1</v>
      </c>
      <c r="AE38">
        <v>334.3</v>
      </c>
    </row>
    <row r="39" spans="1:31" x14ac:dyDescent="0.25">
      <c r="A39" t="str">
        <f t="shared" si="1"/>
        <v>S2</v>
      </c>
      <c r="B39">
        <v>2</v>
      </c>
      <c r="C39" s="48" t="s">
        <v>70</v>
      </c>
      <c r="D39" t="s">
        <v>417</v>
      </c>
      <c r="E39" s="35" t="s">
        <v>60</v>
      </c>
      <c r="F39" s="35">
        <v>1327</v>
      </c>
      <c r="G39" s="35">
        <v>3</v>
      </c>
      <c r="H39">
        <v>3.49</v>
      </c>
      <c r="I39">
        <v>4.28</v>
      </c>
      <c r="J39">
        <v>6.6</v>
      </c>
      <c r="K39">
        <v>0.34399999999999997</v>
      </c>
      <c r="L39">
        <v>1.54</v>
      </c>
      <c r="M39">
        <v>19.11</v>
      </c>
      <c r="N39">
        <v>349</v>
      </c>
      <c r="O39">
        <v>10.6</v>
      </c>
      <c r="P39">
        <v>80.400000000000006</v>
      </c>
      <c r="Q39">
        <v>212</v>
      </c>
      <c r="R39">
        <v>47.6</v>
      </c>
      <c r="S39">
        <v>50.5</v>
      </c>
      <c r="T39">
        <v>0.3</v>
      </c>
      <c r="U39">
        <v>1.5</v>
      </c>
      <c r="V39">
        <v>0</v>
      </c>
      <c r="W39">
        <v>0.1</v>
      </c>
      <c r="X39">
        <v>1.66</v>
      </c>
      <c r="Y39">
        <v>1.77</v>
      </c>
      <c r="Z39">
        <v>0.01</v>
      </c>
      <c r="AA39">
        <v>0.05</v>
      </c>
      <c r="AB39">
        <v>0</v>
      </c>
      <c r="AC39">
        <v>0</v>
      </c>
      <c r="AD39">
        <v>7.5</v>
      </c>
      <c r="AE39">
        <v>318.8</v>
      </c>
    </row>
    <row r="40" spans="1:31" x14ac:dyDescent="0.25">
      <c r="A40" t="str">
        <f t="shared" si="1"/>
        <v>T2</v>
      </c>
      <c r="B40">
        <v>2</v>
      </c>
      <c r="C40" s="48" t="s">
        <v>386</v>
      </c>
      <c r="D40" t="s">
        <v>421</v>
      </c>
      <c r="E40" s="35" t="s">
        <v>60</v>
      </c>
      <c r="F40" s="35">
        <v>1193</v>
      </c>
      <c r="G40" s="35">
        <v>3</v>
      </c>
      <c r="H40">
        <v>1.99</v>
      </c>
      <c r="I40">
        <v>4.8499999999999996</v>
      </c>
      <c r="J40">
        <v>6.3</v>
      </c>
      <c r="K40">
        <v>0.35099999999999998</v>
      </c>
      <c r="L40">
        <v>1.3</v>
      </c>
      <c r="M40">
        <v>18.04</v>
      </c>
      <c r="N40">
        <v>346</v>
      </c>
      <c r="O40">
        <v>11.7</v>
      </c>
      <c r="P40">
        <v>72.3</v>
      </c>
      <c r="Q40">
        <v>215</v>
      </c>
      <c r="R40">
        <v>41.4</v>
      </c>
      <c r="S40">
        <v>57.7</v>
      </c>
      <c r="T40">
        <v>0.6</v>
      </c>
      <c r="U40">
        <v>0.3</v>
      </c>
      <c r="V40">
        <v>0.1</v>
      </c>
      <c r="W40">
        <v>0</v>
      </c>
      <c r="X40">
        <v>0.82</v>
      </c>
      <c r="Y40">
        <v>1.1499999999999999</v>
      </c>
      <c r="Z40">
        <v>0.01</v>
      </c>
      <c r="AA40">
        <v>0.01</v>
      </c>
      <c r="AB40">
        <v>0</v>
      </c>
      <c r="AC40">
        <v>0</v>
      </c>
      <c r="AD40">
        <v>6.7</v>
      </c>
      <c r="AE40">
        <v>323.89999999999998</v>
      </c>
    </row>
    <row r="41" spans="1:31" x14ac:dyDescent="0.25">
      <c r="A41" t="str">
        <f t="shared" si="1"/>
        <v>U2</v>
      </c>
      <c r="B41">
        <v>2</v>
      </c>
      <c r="C41" s="48" t="s">
        <v>388</v>
      </c>
      <c r="D41" t="s">
        <v>419</v>
      </c>
      <c r="E41" s="35" t="s">
        <v>60</v>
      </c>
      <c r="F41" s="35">
        <v>741.5</v>
      </c>
      <c r="G41" s="35">
        <v>3</v>
      </c>
      <c r="H41">
        <v>3.16</v>
      </c>
      <c r="I41">
        <v>4.26</v>
      </c>
      <c r="J41">
        <v>6</v>
      </c>
      <c r="K41">
        <v>0.32200000000000001</v>
      </c>
      <c r="L41">
        <v>1.42</v>
      </c>
      <c r="M41">
        <v>18.690000000000001</v>
      </c>
      <c r="N41">
        <v>373</v>
      </c>
      <c r="O41">
        <v>11</v>
      </c>
      <c r="P41">
        <v>75.7</v>
      </c>
      <c r="Q41">
        <v>220</v>
      </c>
      <c r="R41">
        <v>47.6</v>
      </c>
      <c r="S41">
        <v>50.6</v>
      </c>
      <c r="T41">
        <v>0.3</v>
      </c>
      <c r="U41">
        <v>1.4</v>
      </c>
      <c r="V41">
        <v>0</v>
      </c>
      <c r="W41">
        <v>0</v>
      </c>
      <c r="X41">
        <v>1.51</v>
      </c>
      <c r="Y41">
        <v>1.6</v>
      </c>
      <c r="Z41">
        <v>0.01</v>
      </c>
      <c r="AA41">
        <v>0.04</v>
      </c>
      <c r="AB41">
        <v>0</v>
      </c>
      <c r="AC41">
        <v>0</v>
      </c>
      <c r="AD41">
        <v>7.5</v>
      </c>
      <c r="AE41">
        <v>319.60000000000002</v>
      </c>
    </row>
    <row r="42" spans="1:31" x14ac:dyDescent="0.25">
      <c r="A42" t="str">
        <f t="shared" si="1"/>
        <v>V2</v>
      </c>
      <c r="B42">
        <v>2</v>
      </c>
      <c r="C42" s="48" t="s">
        <v>389</v>
      </c>
      <c r="D42" t="s">
        <v>419</v>
      </c>
      <c r="E42" s="35" t="s">
        <v>60</v>
      </c>
      <c r="F42" s="35">
        <v>1281</v>
      </c>
      <c r="G42" s="35">
        <v>3</v>
      </c>
      <c r="H42">
        <v>4.68</v>
      </c>
      <c r="I42">
        <v>3.79</v>
      </c>
      <c r="J42">
        <v>5.0999999999999996</v>
      </c>
      <c r="K42">
        <v>0.28299999999999997</v>
      </c>
      <c r="L42">
        <v>1.35</v>
      </c>
      <c r="M42">
        <v>18.11</v>
      </c>
      <c r="N42">
        <v>306</v>
      </c>
      <c r="O42">
        <v>11.7</v>
      </c>
      <c r="P42">
        <v>74.599999999999994</v>
      </c>
      <c r="Q42">
        <v>207</v>
      </c>
      <c r="R42">
        <v>56.3</v>
      </c>
      <c r="S42">
        <v>42.1</v>
      </c>
      <c r="T42">
        <v>0.2</v>
      </c>
      <c r="U42">
        <v>1.2</v>
      </c>
      <c r="V42">
        <v>0</v>
      </c>
      <c r="W42">
        <v>0</v>
      </c>
      <c r="X42">
        <v>2.64</v>
      </c>
      <c r="Y42">
        <v>1.97</v>
      </c>
      <c r="Z42">
        <v>0.01</v>
      </c>
      <c r="AA42">
        <v>0.06</v>
      </c>
      <c r="AB42">
        <v>0</v>
      </c>
      <c r="AC42">
        <v>0</v>
      </c>
      <c r="AD42">
        <v>6.3</v>
      </c>
      <c r="AE42">
        <v>238.6</v>
      </c>
    </row>
    <row r="43" spans="1:31" x14ac:dyDescent="0.25">
      <c r="A43" t="str">
        <f t="shared" si="1"/>
        <v>X2</v>
      </c>
      <c r="B43">
        <v>2</v>
      </c>
      <c r="C43" s="48" t="s">
        <v>390</v>
      </c>
      <c r="D43" t="s">
        <v>419</v>
      </c>
      <c r="E43" s="35" t="s">
        <v>60</v>
      </c>
      <c r="F43" s="35">
        <v>1111</v>
      </c>
      <c r="G43" s="35">
        <v>3</v>
      </c>
      <c r="H43">
        <v>1.95</v>
      </c>
      <c r="I43">
        <v>4.21</v>
      </c>
      <c r="J43">
        <v>5.6</v>
      </c>
      <c r="K43">
        <v>0.30399999999999999</v>
      </c>
      <c r="L43">
        <v>1.34</v>
      </c>
      <c r="M43">
        <v>18.48</v>
      </c>
      <c r="N43">
        <v>334</v>
      </c>
      <c r="O43">
        <v>12.6</v>
      </c>
      <c r="P43">
        <v>72.3</v>
      </c>
      <c r="Q43">
        <v>212</v>
      </c>
      <c r="R43">
        <v>46.5</v>
      </c>
      <c r="S43">
        <v>51.9</v>
      </c>
      <c r="T43">
        <v>0.1</v>
      </c>
      <c r="U43">
        <v>1.4</v>
      </c>
      <c r="V43">
        <v>0.1</v>
      </c>
      <c r="W43">
        <v>0.1</v>
      </c>
      <c r="X43">
        <v>0.91</v>
      </c>
      <c r="Y43">
        <v>1.01</v>
      </c>
      <c r="Z43">
        <v>0</v>
      </c>
      <c r="AA43">
        <v>0.03</v>
      </c>
      <c r="AB43">
        <v>0</v>
      </c>
      <c r="AC43">
        <v>0</v>
      </c>
      <c r="AD43">
        <v>6.5</v>
      </c>
      <c r="AE43">
        <v>273.7</v>
      </c>
    </row>
    <row r="44" spans="1:31" x14ac:dyDescent="0.25">
      <c r="A44" t="str">
        <f t="shared" si="1"/>
        <v>Y2</v>
      </c>
      <c r="B44">
        <v>2</v>
      </c>
      <c r="C44" s="48" t="s">
        <v>384</v>
      </c>
      <c r="D44" t="s">
        <v>418</v>
      </c>
      <c r="E44" s="35" t="s">
        <v>60</v>
      </c>
      <c r="F44" s="35">
        <v>1340.4</v>
      </c>
      <c r="G44" s="35">
        <v>3</v>
      </c>
      <c r="H44">
        <v>3.23</v>
      </c>
      <c r="I44">
        <v>4.68</v>
      </c>
      <c r="J44">
        <v>6.4</v>
      </c>
      <c r="K44">
        <v>0.35799999999999998</v>
      </c>
      <c r="L44">
        <v>1.36</v>
      </c>
      <c r="M44">
        <v>17.79</v>
      </c>
      <c r="N44">
        <v>321</v>
      </c>
      <c r="O44">
        <v>10.5</v>
      </c>
      <c r="P44">
        <v>76.599999999999994</v>
      </c>
      <c r="Q44">
        <v>222</v>
      </c>
      <c r="R44">
        <v>55.7</v>
      </c>
      <c r="S44">
        <v>40.9</v>
      </c>
      <c r="T44">
        <v>0.3</v>
      </c>
      <c r="U44">
        <v>2.8</v>
      </c>
      <c r="V44">
        <v>0.2</v>
      </c>
      <c r="W44">
        <v>0.1</v>
      </c>
      <c r="X44">
        <v>1.8</v>
      </c>
      <c r="Y44">
        <v>1.32</v>
      </c>
      <c r="Z44">
        <v>0.01</v>
      </c>
      <c r="AA44">
        <v>0.09</v>
      </c>
      <c r="AB44">
        <v>0.01</v>
      </c>
      <c r="AC44">
        <v>0</v>
      </c>
      <c r="AD44">
        <v>6.7</v>
      </c>
      <c r="AE44">
        <v>312.8</v>
      </c>
    </row>
    <row r="45" spans="1:31" x14ac:dyDescent="0.25">
      <c r="A45" t="str">
        <f t="shared" si="1"/>
        <v>Z2</v>
      </c>
      <c r="B45">
        <v>2</v>
      </c>
      <c r="C45" s="48" t="s">
        <v>387</v>
      </c>
      <c r="D45" t="s">
        <v>417</v>
      </c>
      <c r="E45" s="35" t="s">
        <v>49</v>
      </c>
      <c r="F45" s="35">
        <v>1270</v>
      </c>
      <c r="G45" s="35">
        <v>3</v>
      </c>
      <c r="H45">
        <v>2.71</v>
      </c>
      <c r="I45">
        <v>4.08</v>
      </c>
      <c r="J45">
        <v>6</v>
      </c>
      <c r="K45">
        <v>0.32500000000000001</v>
      </c>
      <c r="L45">
        <v>1.46</v>
      </c>
      <c r="M45">
        <v>18.36</v>
      </c>
      <c r="N45">
        <v>318</v>
      </c>
      <c r="O45">
        <v>11.3</v>
      </c>
      <c r="P45">
        <v>79.599999999999994</v>
      </c>
      <c r="Q45">
        <v>209</v>
      </c>
      <c r="R45">
        <v>56.8</v>
      </c>
      <c r="S45">
        <v>40.700000000000003</v>
      </c>
      <c r="T45">
        <v>0.3</v>
      </c>
      <c r="U45">
        <v>1.9</v>
      </c>
      <c r="V45">
        <v>0.2</v>
      </c>
      <c r="W45">
        <v>0.1</v>
      </c>
      <c r="X45">
        <v>1.54</v>
      </c>
      <c r="Y45">
        <v>1.1000000000000001</v>
      </c>
      <c r="Z45">
        <v>0.01</v>
      </c>
      <c r="AA45">
        <v>0.05</v>
      </c>
      <c r="AB45">
        <v>0.01</v>
      </c>
      <c r="AC45">
        <v>0</v>
      </c>
      <c r="AD45">
        <v>6.3</v>
      </c>
      <c r="AE45">
        <v>256.39999999999998</v>
      </c>
    </row>
    <row r="46" spans="1:31" x14ac:dyDescent="0.25">
      <c r="A46" t="str">
        <f t="shared" si="1"/>
        <v>Æ2</v>
      </c>
      <c r="B46">
        <v>2</v>
      </c>
      <c r="C46" s="48" t="s">
        <v>202</v>
      </c>
      <c r="D46" t="s">
        <v>417</v>
      </c>
      <c r="E46" s="35" t="s">
        <v>60</v>
      </c>
      <c r="F46" s="35">
        <v>1180.8</v>
      </c>
      <c r="G46" s="35">
        <v>3</v>
      </c>
      <c r="H46">
        <v>2.06</v>
      </c>
      <c r="I46">
        <v>4.5999999999999996</v>
      </c>
      <c r="J46">
        <v>6.7</v>
      </c>
      <c r="K46">
        <v>0.35899999999999999</v>
      </c>
      <c r="L46">
        <v>1.46</v>
      </c>
      <c r="M46">
        <v>18.68</v>
      </c>
      <c r="N46">
        <v>442</v>
      </c>
      <c r="O46">
        <v>9.1999999999999993</v>
      </c>
      <c r="P46">
        <v>78.099999999999994</v>
      </c>
      <c r="Q46">
        <v>215</v>
      </c>
      <c r="R46">
        <v>34</v>
      </c>
      <c r="S46">
        <v>64.599999999999994</v>
      </c>
      <c r="T46">
        <v>0.2</v>
      </c>
      <c r="U46">
        <v>1.1000000000000001</v>
      </c>
      <c r="V46">
        <v>0.1</v>
      </c>
      <c r="W46">
        <v>0</v>
      </c>
      <c r="X46">
        <v>0.7</v>
      </c>
      <c r="Y46">
        <v>1.33</v>
      </c>
      <c r="Z46">
        <v>0</v>
      </c>
      <c r="AA46">
        <v>0.02</v>
      </c>
      <c r="AB46">
        <v>0</v>
      </c>
      <c r="AC46">
        <v>0</v>
      </c>
      <c r="AD46">
        <v>7.1</v>
      </c>
      <c r="AE46">
        <v>325.89999999999998</v>
      </c>
    </row>
    <row r="47" spans="1:31" x14ac:dyDescent="0.25">
      <c r="A47" t="str">
        <f t="shared" si="1"/>
        <v>Ø2</v>
      </c>
      <c r="B47">
        <v>2</v>
      </c>
      <c r="C47" s="48" t="s">
        <v>175</v>
      </c>
      <c r="D47" t="s">
        <v>420</v>
      </c>
      <c r="E47" s="35" t="s">
        <v>49</v>
      </c>
      <c r="F47" s="35">
        <v>1275</v>
      </c>
      <c r="G47" s="35">
        <v>3</v>
      </c>
      <c r="H47">
        <v>4.17</v>
      </c>
      <c r="I47">
        <v>5.0199999999999996</v>
      </c>
      <c r="J47">
        <v>7.5</v>
      </c>
      <c r="K47">
        <v>0.39300000000000002</v>
      </c>
      <c r="L47">
        <v>1.5</v>
      </c>
      <c r="M47">
        <v>19.190000000000001</v>
      </c>
      <c r="N47">
        <v>327</v>
      </c>
      <c r="O47">
        <v>10.9</v>
      </c>
      <c r="P47">
        <v>78.3</v>
      </c>
      <c r="Q47">
        <v>220</v>
      </c>
      <c r="R47">
        <v>22.5</v>
      </c>
      <c r="S47">
        <v>75.8</v>
      </c>
      <c r="T47">
        <v>0.9</v>
      </c>
      <c r="U47">
        <v>0.6</v>
      </c>
      <c r="V47">
        <v>0.2</v>
      </c>
      <c r="W47">
        <v>0</v>
      </c>
      <c r="X47">
        <v>0.94</v>
      </c>
      <c r="Y47">
        <v>3.16</v>
      </c>
      <c r="Z47">
        <v>0.04</v>
      </c>
      <c r="AA47">
        <v>0.03</v>
      </c>
      <c r="AB47">
        <v>0.01</v>
      </c>
      <c r="AC47">
        <v>0</v>
      </c>
      <c r="AD47">
        <v>6.9</v>
      </c>
      <c r="AE47">
        <v>344.6</v>
      </c>
    </row>
    <row r="48" spans="1:31" x14ac:dyDescent="0.25">
      <c r="A48" t="str">
        <f t="shared" si="1"/>
        <v>Å2</v>
      </c>
      <c r="B48">
        <v>2</v>
      </c>
      <c r="C48" s="48" t="s">
        <v>145</v>
      </c>
      <c r="D48" t="s">
        <v>419</v>
      </c>
      <c r="E48" s="35" t="s">
        <v>60</v>
      </c>
      <c r="F48" s="35">
        <v>902</v>
      </c>
      <c r="G48" s="35">
        <v>3</v>
      </c>
      <c r="H48">
        <v>4.16</v>
      </c>
      <c r="I48">
        <v>5.97</v>
      </c>
      <c r="J48">
        <v>8.1</v>
      </c>
      <c r="K48">
        <v>0.44900000000000001</v>
      </c>
      <c r="L48">
        <v>1.36</v>
      </c>
      <c r="M48">
        <v>18.079999999999998</v>
      </c>
      <c r="N48">
        <v>325</v>
      </c>
      <c r="O48">
        <v>11.3</v>
      </c>
      <c r="P48">
        <v>75.2</v>
      </c>
      <c r="Q48">
        <v>220</v>
      </c>
      <c r="R48">
        <v>55.4</v>
      </c>
      <c r="S48">
        <v>43.6</v>
      </c>
      <c r="T48">
        <v>0.3</v>
      </c>
      <c r="U48">
        <v>0.5</v>
      </c>
      <c r="V48">
        <v>0.2</v>
      </c>
      <c r="W48">
        <v>0</v>
      </c>
      <c r="X48">
        <v>2.2999999999999998</v>
      </c>
      <c r="Y48">
        <v>1.81</v>
      </c>
      <c r="Z48">
        <v>0.01</v>
      </c>
      <c r="AA48">
        <v>0.02</v>
      </c>
      <c r="AB48">
        <v>0.01</v>
      </c>
      <c r="AC48">
        <v>0</v>
      </c>
      <c r="AD48">
        <v>6.2</v>
      </c>
      <c r="AE48">
        <v>371.9</v>
      </c>
    </row>
    <row r="49" spans="1:31" x14ac:dyDescent="0.25">
      <c r="A49" s="35" t="s">
        <v>643</v>
      </c>
      <c r="B49">
        <v>3</v>
      </c>
      <c r="C49" s="48" t="s">
        <v>36</v>
      </c>
      <c r="D49" t="s">
        <v>418</v>
      </c>
      <c r="E49" t="s">
        <v>49</v>
      </c>
      <c r="F49">
        <v>725</v>
      </c>
      <c r="G49" s="35">
        <v>3</v>
      </c>
      <c r="H49">
        <v>1.62</v>
      </c>
      <c r="I49">
        <v>4.03</v>
      </c>
      <c r="J49">
        <v>6.2</v>
      </c>
      <c r="K49">
        <v>0.36399999999999999</v>
      </c>
      <c r="L49">
        <v>1.53</v>
      </c>
      <c r="M49">
        <v>16.920000000000002</v>
      </c>
      <c r="N49">
        <v>304</v>
      </c>
      <c r="O49">
        <v>11.9</v>
      </c>
      <c r="P49">
        <v>90.5</v>
      </c>
      <c r="Q49">
        <v>219</v>
      </c>
      <c r="R49">
        <v>22.4</v>
      </c>
      <c r="S49">
        <v>76.599999999999994</v>
      </c>
      <c r="T49">
        <v>0.4</v>
      </c>
      <c r="U49">
        <v>0.4</v>
      </c>
      <c r="V49">
        <v>0.1</v>
      </c>
      <c r="W49">
        <v>0.1</v>
      </c>
      <c r="X49">
        <v>0.36</v>
      </c>
      <c r="Y49">
        <v>1.24</v>
      </c>
      <c r="Z49">
        <v>0.01</v>
      </c>
      <c r="AA49">
        <v>0.01</v>
      </c>
      <c r="AB49">
        <v>0</v>
      </c>
      <c r="AC49">
        <v>0</v>
      </c>
      <c r="AD49">
        <v>7.5</v>
      </c>
      <c r="AE49">
        <v>301.7</v>
      </c>
    </row>
    <row r="50" spans="1:31" x14ac:dyDescent="0.25">
      <c r="A50" s="35" t="s">
        <v>751</v>
      </c>
      <c r="B50">
        <v>3</v>
      </c>
      <c r="C50" s="48" t="s">
        <v>586</v>
      </c>
      <c r="D50" t="s">
        <v>417</v>
      </c>
      <c r="E50" t="s">
        <v>60</v>
      </c>
      <c r="F50">
        <v>847</v>
      </c>
      <c r="G50" s="35">
        <v>3</v>
      </c>
      <c r="H50">
        <v>2</v>
      </c>
      <c r="I50">
        <v>3.61</v>
      </c>
      <c r="J50">
        <v>5.8</v>
      </c>
      <c r="K50">
        <v>0.32400000000000001</v>
      </c>
      <c r="L50">
        <v>1.62</v>
      </c>
      <c r="M50">
        <v>18.04</v>
      </c>
      <c r="N50">
        <v>340</v>
      </c>
      <c r="O50">
        <v>10.8</v>
      </c>
      <c r="P50">
        <v>89.7</v>
      </c>
      <c r="Q50">
        <v>212</v>
      </c>
      <c r="R50">
        <v>27.1</v>
      </c>
      <c r="S50">
        <v>71.099999999999994</v>
      </c>
      <c r="T50">
        <v>0.3</v>
      </c>
      <c r="U50">
        <v>1.1000000000000001</v>
      </c>
      <c r="V50">
        <v>0.3</v>
      </c>
      <c r="W50">
        <v>0.1</v>
      </c>
      <c r="X50">
        <v>0.54</v>
      </c>
      <c r="Y50">
        <v>1.42</v>
      </c>
      <c r="Z50">
        <v>0.01</v>
      </c>
      <c r="AA50">
        <v>0.02</v>
      </c>
      <c r="AB50">
        <v>0.01</v>
      </c>
      <c r="AC50">
        <v>0</v>
      </c>
      <c r="AD50">
        <v>6.4</v>
      </c>
      <c r="AE50">
        <v>230.7</v>
      </c>
    </row>
    <row r="51" spans="1:31" x14ac:dyDescent="0.25">
      <c r="A51" s="35" t="s">
        <v>659</v>
      </c>
      <c r="B51">
        <v>3</v>
      </c>
      <c r="C51" s="48" t="s">
        <v>39</v>
      </c>
      <c r="D51" t="s">
        <v>418</v>
      </c>
      <c r="E51" t="s">
        <v>49</v>
      </c>
      <c r="F51">
        <v>794</v>
      </c>
      <c r="G51" s="35">
        <v>3</v>
      </c>
      <c r="H51">
        <v>1.18</v>
      </c>
      <c r="I51">
        <v>3.8</v>
      </c>
      <c r="J51">
        <v>6</v>
      </c>
      <c r="K51">
        <v>0.33800000000000002</v>
      </c>
      <c r="L51">
        <v>1.57</v>
      </c>
      <c r="M51">
        <v>17.66</v>
      </c>
      <c r="N51">
        <v>296</v>
      </c>
      <c r="O51">
        <v>11.5</v>
      </c>
      <c r="P51">
        <v>88.9</v>
      </c>
      <c r="Q51">
        <v>217</v>
      </c>
      <c r="R51">
        <v>9.6999999999999993</v>
      </c>
      <c r="S51">
        <v>88.1</v>
      </c>
      <c r="T51">
        <v>0.8</v>
      </c>
      <c r="U51">
        <v>0.8</v>
      </c>
      <c r="V51">
        <v>0.5</v>
      </c>
      <c r="W51">
        <v>0</v>
      </c>
      <c r="X51">
        <v>0.11</v>
      </c>
      <c r="Y51">
        <v>1.04</v>
      </c>
      <c r="Z51">
        <v>0.01</v>
      </c>
      <c r="AA51">
        <v>0.01</v>
      </c>
      <c r="AB51">
        <v>0.01</v>
      </c>
      <c r="AC51">
        <v>0</v>
      </c>
      <c r="AD51">
        <v>7.2</v>
      </c>
      <c r="AE51">
        <v>274.2</v>
      </c>
    </row>
    <row r="52" spans="1:31" x14ac:dyDescent="0.25">
      <c r="A52" s="35" t="s">
        <v>731</v>
      </c>
      <c r="B52">
        <v>3</v>
      </c>
      <c r="C52" s="48" t="s">
        <v>584</v>
      </c>
      <c r="D52" t="s">
        <v>417</v>
      </c>
      <c r="E52" t="s">
        <v>60</v>
      </c>
      <c r="F52">
        <v>777</v>
      </c>
      <c r="G52" s="35">
        <v>3</v>
      </c>
      <c r="H52">
        <v>2.59</v>
      </c>
      <c r="I52">
        <v>4.2300000000000004</v>
      </c>
      <c r="J52">
        <v>5.9</v>
      </c>
      <c r="K52">
        <v>0.32200000000000001</v>
      </c>
      <c r="L52">
        <v>1.39</v>
      </c>
      <c r="M52">
        <v>18.32</v>
      </c>
      <c r="N52">
        <v>359</v>
      </c>
      <c r="O52">
        <v>10.6</v>
      </c>
      <c r="P52">
        <v>76.099999999999994</v>
      </c>
      <c r="Q52">
        <v>219</v>
      </c>
      <c r="R52">
        <v>25.1</v>
      </c>
      <c r="S52">
        <v>72.099999999999994</v>
      </c>
      <c r="T52">
        <v>0.1</v>
      </c>
      <c r="U52">
        <v>2.7</v>
      </c>
      <c r="V52">
        <v>0</v>
      </c>
      <c r="W52">
        <v>0</v>
      </c>
      <c r="X52">
        <v>0.65</v>
      </c>
      <c r="Y52">
        <v>1.87</v>
      </c>
      <c r="Z52">
        <v>0</v>
      </c>
      <c r="AA52">
        <v>7.0000000000000007E-2</v>
      </c>
      <c r="AB52">
        <v>0</v>
      </c>
      <c r="AC52">
        <v>0</v>
      </c>
      <c r="AD52">
        <v>7.8</v>
      </c>
      <c r="AE52">
        <v>328.9</v>
      </c>
    </row>
    <row r="53" spans="1:31" x14ac:dyDescent="0.25">
      <c r="A53" s="35" t="s">
        <v>639</v>
      </c>
      <c r="B53">
        <v>3</v>
      </c>
      <c r="C53" s="48" t="s">
        <v>45</v>
      </c>
      <c r="D53" t="s">
        <v>418</v>
      </c>
      <c r="E53" t="s">
        <v>60</v>
      </c>
      <c r="F53">
        <v>949.7</v>
      </c>
      <c r="G53" s="35">
        <v>3</v>
      </c>
      <c r="H53">
        <v>1.78</v>
      </c>
      <c r="I53">
        <v>3.95</v>
      </c>
      <c r="J53">
        <v>5.7</v>
      </c>
      <c r="K53">
        <v>0.33200000000000002</v>
      </c>
      <c r="L53">
        <v>1.44</v>
      </c>
      <c r="M53">
        <v>17.16</v>
      </c>
      <c r="N53">
        <v>356</v>
      </c>
      <c r="O53">
        <v>10.8</v>
      </c>
      <c r="P53">
        <v>84</v>
      </c>
      <c r="Q53">
        <v>216</v>
      </c>
      <c r="R53">
        <v>49.9</v>
      </c>
      <c r="S53">
        <v>48.3</v>
      </c>
      <c r="T53">
        <v>0.1</v>
      </c>
      <c r="U53">
        <v>1.6</v>
      </c>
      <c r="V53">
        <v>0</v>
      </c>
      <c r="W53">
        <v>0</v>
      </c>
      <c r="X53">
        <v>0.89</v>
      </c>
      <c r="Y53">
        <v>0.86</v>
      </c>
      <c r="Z53">
        <v>0</v>
      </c>
      <c r="AA53">
        <v>0.03</v>
      </c>
      <c r="AB53">
        <v>0</v>
      </c>
      <c r="AC53">
        <v>0</v>
      </c>
      <c r="AD53">
        <v>5.7</v>
      </c>
      <c r="AE53">
        <v>224.8</v>
      </c>
    </row>
    <row r="54" spans="1:31" x14ac:dyDescent="0.25">
      <c r="A54" s="35" t="s">
        <v>707</v>
      </c>
      <c r="B54">
        <v>3</v>
      </c>
      <c r="C54" s="48" t="s">
        <v>51</v>
      </c>
      <c r="D54" t="s">
        <v>420</v>
      </c>
      <c r="E54" t="s">
        <v>49</v>
      </c>
      <c r="F54">
        <v>993</v>
      </c>
      <c r="G54" s="35">
        <v>3</v>
      </c>
      <c r="H54">
        <v>3</v>
      </c>
      <c r="I54">
        <v>4.03</v>
      </c>
      <c r="J54">
        <v>5.9</v>
      </c>
      <c r="K54">
        <v>0.312</v>
      </c>
      <c r="L54">
        <v>1.46</v>
      </c>
      <c r="M54">
        <v>18.87</v>
      </c>
      <c r="N54">
        <v>417</v>
      </c>
      <c r="O54">
        <v>10.199999999999999</v>
      </c>
      <c r="P54">
        <v>77.400000000000006</v>
      </c>
      <c r="Q54">
        <v>220</v>
      </c>
      <c r="R54">
        <v>36.799999999999997</v>
      </c>
      <c r="S54">
        <v>61.1</v>
      </c>
      <c r="T54">
        <v>1</v>
      </c>
      <c r="U54">
        <v>1.1000000000000001</v>
      </c>
      <c r="V54">
        <v>0.1</v>
      </c>
      <c r="W54">
        <v>0</v>
      </c>
      <c r="X54">
        <v>1.1000000000000001</v>
      </c>
      <c r="Y54">
        <v>1.83</v>
      </c>
      <c r="Z54">
        <v>0.03</v>
      </c>
      <c r="AA54">
        <v>0.03</v>
      </c>
      <c r="AB54">
        <v>0</v>
      </c>
      <c r="AC54">
        <v>0</v>
      </c>
      <c r="AD54">
        <v>6.9</v>
      </c>
      <c r="AE54">
        <v>278.8</v>
      </c>
    </row>
    <row r="55" spans="1:31" x14ac:dyDescent="0.25">
      <c r="A55" s="35" t="s">
        <v>670</v>
      </c>
      <c r="B55">
        <v>3</v>
      </c>
      <c r="C55" s="48" t="s">
        <v>585</v>
      </c>
      <c r="D55" t="s">
        <v>418</v>
      </c>
      <c r="E55" t="s">
        <v>60</v>
      </c>
      <c r="F55">
        <v>1159</v>
      </c>
      <c r="G55" s="35">
        <v>3</v>
      </c>
      <c r="H55">
        <v>1.51</v>
      </c>
      <c r="I55">
        <v>3.74</v>
      </c>
      <c r="J55">
        <v>5.8</v>
      </c>
      <c r="K55">
        <v>0.316</v>
      </c>
      <c r="L55">
        <v>1.56</v>
      </c>
      <c r="M55">
        <v>18.41</v>
      </c>
      <c r="N55">
        <v>447</v>
      </c>
      <c r="O55">
        <v>10.1</v>
      </c>
      <c r="P55">
        <v>84.5</v>
      </c>
      <c r="Q55">
        <v>209</v>
      </c>
      <c r="R55">
        <v>22.5</v>
      </c>
      <c r="S55">
        <v>75.2</v>
      </c>
      <c r="T55">
        <v>0.5</v>
      </c>
      <c r="U55">
        <v>1.5</v>
      </c>
      <c r="V55">
        <v>0.2</v>
      </c>
      <c r="W55">
        <v>0</v>
      </c>
      <c r="X55">
        <v>0.34</v>
      </c>
      <c r="Y55">
        <v>1.1299999999999999</v>
      </c>
      <c r="Z55">
        <v>0.01</v>
      </c>
      <c r="AA55">
        <v>0.02</v>
      </c>
      <c r="AB55">
        <v>0</v>
      </c>
      <c r="AC55">
        <v>0</v>
      </c>
      <c r="AD55">
        <v>8.1</v>
      </c>
      <c r="AE55">
        <v>303.60000000000002</v>
      </c>
    </row>
    <row r="56" spans="1:31" x14ac:dyDescent="0.25">
      <c r="A56" s="35" t="s">
        <v>666</v>
      </c>
      <c r="B56">
        <v>3</v>
      </c>
      <c r="C56" s="48" t="s">
        <v>53</v>
      </c>
      <c r="D56" t="s">
        <v>418</v>
      </c>
      <c r="E56" t="s">
        <v>49</v>
      </c>
      <c r="F56">
        <v>1104</v>
      </c>
      <c r="G56" s="35">
        <v>3</v>
      </c>
      <c r="H56">
        <v>1.58</v>
      </c>
      <c r="I56">
        <v>3.39</v>
      </c>
      <c r="J56">
        <v>5.2</v>
      </c>
      <c r="K56">
        <v>0.3</v>
      </c>
      <c r="L56">
        <v>1.54</v>
      </c>
      <c r="M56">
        <v>17.420000000000002</v>
      </c>
      <c r="N56">
        <v>328</v>
      </c>
      <c r="O56">
        <v>11.4</v>
      </c>
      <c r="P56">
        <v>88.5</v>
      </c>
      <c r="Q56">
        <v>221</v>
      </c>
      <c r="R56">
        <v>28.6</v>
      </c>
      <c r="S56">
        <v>70</v>
      </c>
      <c r="T56">
        <v>0.1</v>
      </c>
      <c r="U56">
        <v>1.1000000000000001</v>
      </c>
      <c r="V56">
        <v>0.2</v>
      </c>
      <c r="W56">
        <v>0</v>
      </c>
      <c r="X56">
        <v>0.45</v>
      </c>
      <c r="Y56">
        <v>1.1100000000000001</v>
      </c>
      <c r="Z56">
        <v>0</v>
      </c>
      <c r="AA56">
        <v>0.02</v>
      </c>
      <c r="AB56">
        <v>0</v>
      </c>
      <c r="AC56">
        <v>0</v>
      </c>
      <c r="AD56">
        <v>6.6</v>
      </c>
      <c r="AE56">
        <v>225</v>
      </c>
    </row>
    <row r="57" spans="1:31" x14ac:dyDescent="0.25">
      <c r="A57" s="35" t="s">
        <v>767</v>
      </c>
      <c r="B57">
        <v>3</v>
      </c>
      <c r="C57" s="48" t="s">
        <v>56</v>
      </c>
      <c r="D57" t="s">
        <v>417</v>
      </c>
      <c r="E57" t="s">
        <v>49</v>
      </c>
      <c r="F57">
        <v>996</v>
      </c>
      <c r="G57" s="35">
        <v>3</v>
      </c>
      <c r="H57">
        <v>3.85</v>
      </c>
      <c r="I57">
        <v>4.4800000000000004</v>
      </c>
      <c r="J57">
        <v>6.2</v>
      </c>
      <c r="K57">
        <v>0.34100000000000003</v>
      </c>
      <c r="L57">
        <v>1.38</v>
      </c>
      <c r="M57">
        <v>18.2</v>
      </c>
      <c r="N57">
        <v>365</v>
      </c>
      <c r="O57">
        <v>10.199999999999999</v>
      </c>
      <c r="P57">
        <v>76.099999999999994</v>
      </c>
      <c r="Q57">
        <v>223</v>
      </c>
      <c r="R57">
        <v>44.8</v>
      </c>
      <c r="S57">
        <v>54</v>
      </c>
      <c r="T57">
        <v>0.4</v>
      </c>
      <c r="U57">
        <v>0.7</v>
      </c>
      <c r="V57">
        <v>0.1</v>
      </c>
      <c r="W57">
        <v>0</v>
      </c>
      <c r="X57">
        <v>1.72</v>
      </c>
      <c r="Y57">
        <v>2.08</v>
      </c>
      <c r="Z57">
        <v>0.02</v>
      </c>
      <c r="AA57">
        <v>0.03</v>
      </c>
      <c r="AB57">
        <v>0</v>
      </c>
      <c r="AC57">
        <v>0</v>
      </c>
      <c r="AD57">
        <v>7.3</v>
      </c>
      <c r="AE57">
        <v>325.7</v>
      </c>
    </row>
    <row r="58" spans="1:31" x14ac:dyDescent="0.25">
      <c r="A58" s="35" t="s">
        <v>646</v>
      </c>
      <c r="B58">
        <v>3</v>
      </c>
      <c r="C58" s="48" t="s">
        <v>80</v>
      </c>
      <c r="D58" t="s">
        <v>418</v>
      </c>
      <c r="E58" t="s">
        <v>60</v>
      </c>
      <c r="F58">
        <v>885</v>
      </c>
      <c r="G58" s="35">
        <v>3</v>
      </c>
      <c r="H58">
        <v>2</v>
      </c>
      <c r="I58">
        <v>3.83</v>
      </c>
      <c r="J58">
        <v>5.5</v>
      </c>
      <c r="K58">
        <v>0.312</v>
      </c>
      <c r="L58">
        <v>1.44</v>
      </c>
      <c r="M58">
        <v>17.649999999999999</v>
      </c>
      <c r="N58">
        <v>340</v>
      </c>
      <c r="O58">
        <v>10.5</v>
      </c>
      <c r="P58">
        <v>81.400000000000006</v>
      </c>
      <c r="Q58">
        <v>219</v>
      </c>
      <c r="R58">
        <v>50.9</v>
      </c>
      <c r="S58">
        <v>47.8</v>
      </c>
      <c r="T58">
        <v>0.1</v>
      </c>
      <c r="U58">
        <v>1.1000000000000001</v>
      </c>
      <c r="V58">
        <v>0.1</v>
      </c>
      <c r="W58">
        <v>0</v>
      </c>
      <c r="X58">
        <v>1.02</v>
      </c>
      <c r="Y58">
        <v>0.96</v>
      </c>
      <c r="Z58">
        <v>0</v>
      </c>
      <c r="AA58">
        <v>0.02</v>
      </c>
      <c r="AB58">
        <v>0</v>
      </c>
      <c r="AC58">
        <v>0</v>
      </c>
      <c r="AD58">
        <v>8.3000000000000007</v>
      </c>
      <c r="AE58">
        <v>317.60000000000002</v>
      </c>
    </row>
    <row r="59" spans="1:31" x14ac:dyDescent="0.25">
      <c r="A59" s="35" t="s">
        <v>596</v>
      </c>
      <c r="B59">
        <v>3</v>
      </c>
      <c r="C59" s="48" t="s">
        <v>82</v>
      </c>
      <c r="D59" t="s">
        <v>421</v>
      </c>
      <c r="E59" t="s">
        <v>49</v>
      </c>
      <c r="F59">
        <v>984</v>
      </c>
      <c r="G59" s="35">
        <v>3</v>
      </c>
      <c r="H59">
        <v>3.14</v>
      </c>
      <c r="I59">
        <v>3.98</v>
      </c>
      <c r="J59">
        <v>5.5</v>
      </c>
      <c r="K59">
        <v>0.32500000000000001</v>
      </c>
      <c r="L59">
        <v>1.39</v>
      </c>
      <c r="M59">
        <v>17.02</v>
      </c>
      <c r="N59">
        <v>341</v>
      </c>
      <c r="O59">
        <v>12</v>
      </c>
      <c r="P59">
        <v>81.7</v>
      </c>
      <c r="Q59">
        <v>230</v>
      </c>
      <c r="R59">
        <v>36.6</v>
      </c>
      <c r="S59">
        <v>61.7</v>
      </c>
      <c r="T59">
        <v>0.5</v>
      </c>
      <c r="U59">
        <v>0.9</v>
      </c>
      <c r="V59">
        <v>0.2</v>
      </c>
      <c r="W59">
        <v>0</v>
      </c>
      <c r="X59">
        <v>1.1499999999999999</v>
      </c>
      <c r="Y59">
        <v>1.94</v>
      </c>
      <c r="Z59">
        <v>0.02</v>
      </c>
      <c r="AA59">
        <v>0.03</v>
      </c>
      <c r="AB59">
        <v>0.01</v>
      </c>
      <c r="AC59">
        <v>0</v>
      </c>
      <c r="AD59">
        <v>6</v>
      </c>
      <c r="AE59">
        <v>240.5</v>
      </c>
    </row>
    <row r="60" spans="1:31" x14ac:dyDescent="0.25">
      <c r="A60" s="35" t="s">
        <v>755</v>
      </c>
      <c r="B60">
        <v>3</v>
      </c>
      <c r="C60" s="48" t="s">
        <v>58</v>
      </c>
      <c r="D60" t="s">
        <v>417</v>
      </c>
      <c r="E60" t="s">
        <v>60</v>
      </c>
      <c r="F60">
        <v>1175</v>
      </c>
      <c r="G60" s="35">
        <v>3</v>
      </c>
      <c r="H60">
        <v>1.29</v>
      </c>
      <c r="I60">
        <v>2.75</v>
      </c>
      <c r="J60">
        <v>4.7</v>
      </c>
      <c r="K60">
        <v>0.24399999999999999</v>
      </c>
      <c r="L60">
        <v>1.72</v>
      </c>
      <c r="M60">
        <v>19.32</v>
      </c>
      <c r="N60">
        <v>334</v>
      </c>
      <c r="O60">
        <v>10.6</v>
      </c>
      <c r="P60">
        <v>88.8</v>
      </c>
      <c r="Q60">
        <v>220</v>
      </c>
      <c r="R60">
        <v>20.7</v>
      </c>
      <c r="S60">
        <v>77</v>
      </c>
      <c r="T60">
        <v>0.6</v>
      </c>
      <c r="U60">
        <v>1.2</v>
      </c>
      <c r="V60">
        <v>0.5</v>
      </c>
      <c r="W60">
        <v>0</v>
      </c>
      <c r="X60">
        <v>0.27</v>
      </c>
      <c r="Y60">
        <v>0.99</v>
      </c>
      <c r="Z60">
        <v>0.01</v>
      </c>
      <c r="AA60">
        <v>0.02</v>
      </c>
      <c r="AB60">
        <v>0.01</v>
      </c>
      <c r="AC60">
        <v>0</v>
      </c>
      <c r="AD60">
        <v>10.1</v>
      </c>
      <c r="AE60">
        <v>277.39999999999998</v>
      </c>
    </row>
    <row r="61" spans="1:31" x14ac:dyDescent="0.25">
      <c r="A61" s="35" t="s">
        <v>796</v>
      </c>
      <c r="B61">
        <v>3</v>
      </c>
      <c r="C61" s="48" t="s">
        <v>62</v>
      </c>
      <c r="D61" t="s">
        <v>419</v>
      </c>
      <c r="E61" t="s">
        <v>60</v>
      </c>
      <c r="F61">
        <v>1219</v>
      </c>
      <c r="G61" s="35">
        <v>3</v>
      </c>
      <c r="H61">
        <v>3.15</v>
      </c>
      <c r="I61">
        <v>3.72</v>
      </c>
      <c r="J61">
        <v>5.3</v>
      </c>
      <c r="K61">
        <v>0.29799999999999999</v>
      </c>
      <c r="L61">
        <v>1.43</v>
      </c>
      <c r="M61">
        <v>17.86</v>
      </c>
      <c r="N61">
        <v>354</v>
      </c>
      <c r="O61">
        <v>10.8</v>
      </c>
      <c r="P61">
        <v>80.099999999999994</v>
      </c>
      <c r="Q61">
        <v>216</v>
      </c>
      <c r="R61">
        <v>48.3</v>
      </c>
      <c r="S61">
        <v>49.1</v>
      </c>
      <c r="T61">
        <v>0.4</v>
      </c>
      <c r="U61">
        <v>2.1</v>
      </c>
      <c r="V61">
        <v>0.1</v>
      </c>
      <c r="W61">
        <v>0</v>
      </c>
      <c r="X61">
        <v>1.52</v>
      </c>
      <c r="Y61">
        <v>1.54</v>
      </c>
      <c r="Z61">
        <v>0.01</v>
      </c>
      <c r="AA61">
        <v>7.0000000000000007E-2</v>
      </c>
      <c r="AB61">
        <v>0</v>
      </c>
      <c r="AC61">
        <v>0</v>
      </c>
      <c r="AD61">
        <v>8.1999999999999993</v>
      </c>
      <c r="AE61">
        <v>304.60000000000002</v>
      </c>
    </row>
    <row r="62" spans="1:31" x14ac:dyDescent="0.25">
      <c r="A62" s="35" t="s">
        <v>801</v>
      </c>
      <c r="B62">
        <v>3</v>
      </c>
      <c r="C62" s="48" t="s">
        <v>64</v>
      </c>
      <c r="D62" t="s">
        <v>419</v>
      </c>
      <c r="E62" t="s">
        <v>49</v>
      </c>
      <c r="F62">
        <v>849</v>
      </c>
      <c r="G62" s="35">
        <v>3</v>
      </c>
      <c r="H62">
        <v>2.5099999999999998</v>
      </c>
      <c r="I62">
        <v>4.1900000000000004</v>
      </c>
      <c r="J62">
        <v>6.1</v>
      </c>
      <c r="K62">
        <v>0.33800000000000002</v>
      </c>
      <c r="L62">
        <v>1.45</v>
      </c>
      <c r="M62">
        <v>18.02</v>
      </c>
      <c r="N62">
        <v>486</v>
      </c>
      <c r="O62">
        <v>11.3</v>
      </c>
      <c r="P62">
        <v>80.7</v>
      </c>
      <c r="Q62">
        <v>229</v>
      </c>
      <c r="R62">
        <v>44.4</v>
      </c>
      <c r="S62">
        <v>53.1</v>
      </c>
      <c r="T62">
        <v>0.8</v>
      </c>
      <c r="U62">
        <v>1.7</v>
      </c>
      <c r="V62">
        <v>0.1</v>
      </c>
      <c r="W62">
        <v>0</v>
      </c>
      <c r="X62">
        <v>1.1299999999999999</v>
      </c>
      <c r="Y62">
        <v>1.35</v>
      </c>
      <c r="Z62">
        <v>0.02</v>
      </c>
      <c r="AA62">
        <v>0.04</v>
      </c>
      <c r="AB62">
        <v>0</v>
      </c>
      <c r="AC62">
        <v>0</v>
      </c>
      <c r="AD62">
        <v>8.8000000000000007</v>
      </c>
      <c r="AE62">
        <v>366.8</v>
      </c>
    </row>
    <row r="63" spans="1:31" x14ac:dyDescent="0.25">
      <c r="A63" s="35" t="s">
        <v>699</v>
      </c>
      <c r="B63">
        <v>3</v>
      </c>
      <c r="C63" s="48" t="s">
        <v>66</v>
      </c>
      <c r="D63" t="s">
        <v>420</v>
      </c>
      <c r="E63" t="s">
        <v>60</v>
      </c>
      <c r="F63">
        <v>1279</v>
      </c>
      <c r="G63" s="35">
        <v>3</v>
      </c>
      <c r="H63">
        <v>2.88</v>
      </c>
      <c r="I63">
        <v>3.27</v>
      </c>
      <c r="J63">
        <v>4.5999999999999996</v>
      </c>
      <c r="K63">
        <v>0.249</v>
      </c>
      <c r="L63">
        <v>1.4</v>
      </c>
      <c r="M63">
        <v>18.309999999999999</v>
      </c>
      <c r="N63">
        <v>393</v>
      </c>
      <c r="O63">
        <v>10.199999999999999</v>
      </c>
      <c r="P63">
        <v>76.2</v>
      </c>
      <c r="Q63">
        <v>215</v>
      </c>
      <c r="R63">
        <v>30.7</v>
      </c>
      <c r="S63">
        <v>66.900000000000006</v>
      </c>
      <c r="T63">
        <v>0.7</v>
      </c>
      <c r="U63">
        <v>1.5</v>
      </c>
      <c r="V63">
        <v>0.1</v>
      </c>
      <c r="W63">
        <v>0</v>
      </c>
      <c r="X63">
        <v>0.89</v>
      </c>
      <c r="Y63">
        <v>1.93</v>
      </c>
      <c r="Z63">
        <v>0.02</v>
      </c>
      <c r="AA63">
        <v>0.04</v>
      </c>
      <c r="AB63">
        <v>0</v>
      </c>
      <c r="AC63">
        <v>0</v>
      </c>
      <c r="AD63">
        <v>7.5</v>
      </c>
      <c r="AE63">
        <v>245.2</v>
      </c>
    </row>
    <row r="64" spans="1:31" x14ac:dyDescent="0.25">
      <c r="A64" s="35" t="s">
        <v>613</v>
      </c>
      <c r="B64">
        <v>3</v>
      </c>
      <c r="C64" s="48" t="s">
        <v>385</v>
      </c>
      <c r="D64" t="s">
        <v>421</v>
      </c>
      <c r="E64" t="s">
        <v>60</v>
      </c>
      <c r="F64">
        <v>676</v>
      </c>
      <c r="G64" s="35">
        <v>3</v>
      </c>
      <c r="H64">
        <v>2.2000000000000002</v>
      </c>
      <c r="I64">
        <v>2.4900000000000002</v>
      </c>
      <c r="J64">
        <v>4</v>
      </c>
      <c r="K64">
        <v>0.222</v>
      </c>
      <c r="L64">
        <v>1.61</v>
      </c>
      <c r="M64">
        <v>18.04</v>
      </c>
      <c r="N64">
        <v>303</v>
      </c>
      <c r="O64">
        <v>11.4</v>
      </c>
      <c r="P64">
        <v>89</v>
      </c>
      <c r="Q64">
        <v>207</v>
      </c>
      <c r="R64">
        <v>25.1</v>
      </c>
      <c r="S64">
        <v>72.599999999999994</v>
      </c>
      <c r="T64">
        <v>1</v>
      </c>
      <c r="U64">
        <v>1</v>
      </c>
      <c r="V64">
        <v>0.4</v>
      </c>
      <c r="W64">
        <v>0</v>
      </c>
      <c r="X64">
        <v>0.55000000000000004</v>
      </c>
      <c r="Y64">
        <v>1.6</v>
      </c>
      <c r="Z64">
        <v>0.02</v>
      </c>
      <c r="AA64">
        <v>0.02</v>
      </c>
      <c r="AB64">
        <v>0.01</v>
      </c>
      <c r="AC64">
        <v>0</v>
      </c>
      <c r="AD64">
        <v>8.5</v>
      </c>
      <c r="AE64">
        <v>212.5</v>
      </c>
    </row>
    <row r="65" spans="1:31" x14ac:dyDescent="0.25">
      <c r="A65" s="35" t="s">
        <v>720</v>
      </c>
      <c r="B65">
        <v>3</v>
      </c>
      <c r="C65" s="48" t="s">
        <v>68</v>
      </c>
      <c r="D65" t="s">
        <v>420</v>
      </c>
      <c r="E65" t="s">
        <v>60</v>
      </c>
      <c r="F65">
        <v>637</v>
      </c>
      <c r="G65" s="35">
        <v>3</v>
      </c>
      <c r="H65">
        <v>2.5</v>
      </c>
      <c r="I65">
        <v>3.76</v>
      </c>
      <c r="J65">
        <v>5.6</v>
      </c>
      <c r="K65">
        <v>0.30399999999999999</v>
      </c>
      <c r="L65">
        <v>1.49</v>
      </c>
      <c r="M65">
        <v>18.38</v>
      </c>
      <c r="N65">
        <v>337</v>
      </c>
      <c r="O65">
        <v>11</v>
      </c>
      <c r="P65">
        <v>80.900000000000006</v>
      </c>
      <c r="Q65">
        <v>223</v>
      </c>
      <c r="R65">
        <v>32.299999999999997</v>
      </c>
      <c r="S65">
        <v>66.2</v>
      </c>
      <c r="T65">
        <v>0.8</v>
      </c>
      <c r="U65">
        <v>0.7</v>
      </c>
      <c r="V65">
        <v>0.1</v>
      </c>
      <c r="W65">
        <v>0</v>
      </c>
      <c r="X65">
        <v>0.81</v>
      </c>
      <c r="Y65">
        <v>1.66</v>
      </c>
      <c r="Z65">
        <v>0.02</v>
      </c>
      <c r="AA65">
        <v>0.02</v>
      </c>
      <c r="AB65">
        <v>0</v>
      </c>
      <c r="AC65">
        <v>0</v>
      </c>
      <c r="AD65">
        <v>9.3000000000000007</v>
      </c>
      <c r="AE65">
        <v>350.3</v>
      </c>
    </row>
    <row r="66" spans="1:31" x14ac:dyDescent="0.25">
      <c r="A66" s="35" t="s">
        <v>855</v>
      </c>
      <c r="B66">
        <v>3</v>
      </c>
      <c r="C66" s="48" t="s">
        <v>386</v>
      </c>
      <c r="D66" t="s">
        <v>419</v>
      </c>
      <c r="E66" t="s">
        <v>60</v>
      </c>
      <c r="F66">
        <v>1017</v>
      </c>
      <c r="G66" s="35">
        <v>3</v>
      </c>
      <c r="H66">
        <v>2.09</v>
      </c>
      <c r="I66">
        <v>4.08</v>
      </c>
      <c r="J66">
        <v>5.6</v>
      </c>
      <c r="K66">
        <v>0.29899999999999999</v>
      </c>
      <c r="L66">
        <v>1.38</v>
      </c>
      <c r="M66">
        <v>18.850000000000001</v>
      </c>
      <c r="N66">
        <v>353</v>
      </c>
      <c r="O66">
        <v>10.7</v>
      </c>
      <c r="P66">
        <v>73.3</v>
      </c>
      <c r="Q66">
        <v>221</v>
      </c>
      <c r="R66">
        <v>39.5</v>
      </c>
      <c r="S66">
        <v>59.4</v>
      </c>
      <c r="T66">
        <v>0.1</v>
      </c>
      <c r="U66">
        <v>1</v>
      </c>
      <c r="V66">
        <v>0.1</v>
      </c>
      <c r="W66">
        <v>0</v>
      </c>
      <c r="X66">
        <v>0.83</v>
      </c>
      <c r="Y66">
        <v>1.24</v>
      </c>
      <c r="Z66">
        <v>0</v>
      </c>
      <c r="AA66">
        <v>0.02</v>
      </c>
      <c r="AB66">
        <v>0</v>
      </c>
      <c r="AC66">
        <v>0</v>
      </c>
      <c r="AD66">
        <v>9</v>
      </c>
      <c r="AE66">
        <v>368.6</v>
      </c>
    </row>
    <row r="67" spans="1:31" x14ac:dyDescent="0.25">
      <c r="A67" s="35" t="s">
        <v>813</v>
      </c>
      <c r="B67">
        <v>3</v>
      </c>
      <c r="C67" s="48" t="s">
        <v>388</v>
      </c>
      <c r="D67" t="s">
        <v>419</v>
      </c>
      <c r="E67" t="s">
        <v>49</v>
      </c>
      <c r="F67">
        <v>909</v>
      </c>
      <c r="G67" s="35">
        <v>3</v>
      </c>
      <c r="H67">
        <v>2.38</v>
      </c>
      <c r="I67">
        <v>4.1100000000000003</v>
      </c>
      <c r="J67">
        <v>6.2</v>
      </c>
      <c r="K67">
        <v>0.33300000000000002</v>
      </c>
      <c r="L67">
        <v>1.5</v>
      </c>
      <c r="M67">
        <v>18.55</v>
      </c>
      <c r="N67">
        <v>438</v>
      </c>
      <c r="O67">
        <v>10.6</v>
      </c>
      <c r="P67">
        <v>81</v>
      </c>
      <c r="Q67">
        <v>227</v>
      </c>
      <c r="R67">
        <v>19.600000000000001</v>
      </c>
      <c r="S67">
        <v>78.7</v>
      </c>
      <c r="T67">
        <v>0.3</v>
      </c>
      <c r="U67">
        <v>0.9</v>
      </c>
      <c r="V67">
        <v>0.3</v>
      </c>
      <c r="W67">
        <v>0.1</v>
      </c>
      <c r="X67">
        <v>0.47</v>
      </c>
      <c r="Y67">
        <v>1.88</v>
      </c>
      <c r="Z67">
        <v>0.01</v>
      </c>
      <c r="AA67">
        <v>0.02</v>
      </c>
      <c r="AB67">
        <v>0.01</v>
      </c>
      <c r="AC67">
        <v>0</v>
      </c>
      <c r="AD67">
        <v>8</v>
      </c>
      <c r="AE67">
        <v>327.60000000000002</v>
      </c>
    </row>
    <row r="68" spans="1:31" x14ac:dyDescent="0.25">
      <c r="A68" s="35" t="s">
        <v>861</v>
      </c>
      <c r="B68">
        <v>3</v>
      </c>
      <c r="C68" s="48" t="s">
        <v>389</v>
      </c>
      <c r="D68" t="s">
        <v>419</v>
      </c>
      <c r="E68" t="s">
        <v>49</v>
      </c>
      <c r="F68">
        <v>795</v>
      </c>
      <c r="G68" s="35">
        <v>3</v>
      </c>
      <c r="H68">
        <v>2.34</v>
      </c>
      <c r="I68">
        <v>3.94</v>
      </c>
      <c r="J68">
        <v>5.8</v>
      </c>
      <c r="K68">
        <v>0.312</v>
      </c>
      <c r="L68">
        <v>1.47</v>
      </c>
      <c r="M68">
        <v>18.55</v>
      </c>
      <c r="N68">
        <v>341</v>
      </c>
      <c r="O68">
        <v>11.1</v>
      </c>
      <c r="P68">
        <v>79.099999999999994</v>
      </c>
      <c r="Q68">
        <v>215</v>
      </c>
      <c r="R68">
        <v>30.1</v>
      </c>
      <c r="S68">
        <v>68.599999999999994</v>
      </c>
      <c r="T68">
        <v>0.3</v>
      </c>
      <c r="U68">
        <v>1</v>
      </c>
      <c r="V68">
        <v>0</v>
      </c>
      <c r="W68">
        <v>0</v>
      </c>
      <c r="X68">
        <v>0.7</v>
      </c>
      <c r="Y68">
        <v>1.61</v>
      </c>
      <c r="Z68">
        <v>0.01</v>
      </c>
      <c r="AA68">
        <v>0.02</v>
      </c>
      <c r="AB68">
        <v>0</v>
      </c>
      <c r="AC68">
        <v>0</v>
      </c>
      <c r="AD68">
        <v>7</v>
      </c>
      <c r="AE68">
        <v>275.7</v>
      </c>
    </row>
    <row r="69" spans="1:31" x14ac:dyDescent="0.25">
      <c r="A69" s="35" t="s">
        <v>703</v>
      </c>
      <c r="B69">
        <v>3</v>
      </c>
      <c r="C69" s="48" t="s">
        <v>390</v>
      </c>
      <c r="D69" t="s">
        <v>420</v>
      </c>
      <c r="E69" t="s">
        <v>49</v>
      </c>
      <c r="F69">
        <v>828</v>
      </c>
      <c r="G69" s="35">
        <v>3</v>
      </c>
      <c r="H69">
        <v>4.4800000000000004</v>
      </c>
      <c r="I69">
        <v>3.1</v>
      </c>
      <c r="J69">
        <v>5</v>
      </c>
      <c r="K69">
        <v>0.26800000000000002</v>
      </c>
      <c r="L69">
        <v>1.61</v>
      </c>
      <c r="M69">
        <v>18.670000000000002</v>
      </c>
      <c r="N69">
        <v>335</v>
      </c>
      <c r="O69">
        <v>11.1</v>
      </c>
      <c r="P69">
        <v>86.3</v>
      </c>
      <c r="Q69">
        <v>210</v>
      </c>
      <c r="R69">
        <v>49.4</v>
      </c>
      <c r="S69">
        <v>47.4</v>
      </c>
      <c r="T69">
        <v>1.6</v>
      </c>
      <c r="U69">
        <v>0.8</v>
      </c>
      <c r="V69">
        <v>0.7</v>
      </c>
      <c r="W69">
        <v>0.1</v>
      </c>
      <c r="X69">
        <v>2.21</v>
      </c>
      <c r="Y69">
        <v>2.12</v>
      </c>
      <c r="Z69">
        <v>7.0000000000000007E-2</v>
      </c>
      <c r="AA69">
        <v>0.04</v>
      </c>
      <c r="AB69">
        <v>0.03</v>
      </c>
      <c r="AC69">
        <v>0.01</v>
      </c>
      <c r="AD69">
        <v>6.2</v>
      </c>
      <c r="AE69">
        <v>191.1</v>
      </c>
    </row>
    <row r="70" spans="1:31" x14ac:dyDescent="0.25">
      <c r="A70" s="35" t="s">
        <v>858</v>
      </c>
      <c r="B70">
        <v>3</v>
      </c>
      <c r="C70" s="48" t="s">
        <v>384</v>
      </c>
      <c r="D70" t="s">
        <v>419</v>
      </c>
      <c r="E70" t="s">
        <v>49</v>
      </c>
      <c r="F70">
        <v>702</v>
      </c>
      <c r="G70" s="35">
        <v>3</v>
      </c>
      <c r="H70">
        <v>2.94</v>
      </c>
      <c r="I70">
        <v>4.4400000000000004</v>
      </c>
      <c r="J70">
        <v>6.7</v>
      </c>
      <c r="K70">
        <v>0.36399999999999999</v>
      </c>
      <c r="L70">
        <v>1.5</v>
      </c>
      <c r="M70">
        <v>18.34</v>
      </c>
      <c r="N70">
        <v>409</v>
      </c>
      <c r="O70">
        <v>11</v>
      </c>
      <c r="P70">
        <v>82</v>
      </c>
      <c r="Q70">
        <v>224</v>
      </c>
      <c r="R70">
        <v>51.6</v>
      </c>
      <c r="S70">
        <v>46.2</v>
      </c>
      <c r="T70">
        <v>0.2</v>
      </c>
      <c r="U70">
        <v>1.7</v>
      </c>
      <c r="V70">
        <v>0.2</v>
      </c>
      <c r="W70">
        <v>0</v>
      </c>
      <c r="X70">
        <v>1.52</v>
      </c>
      <c r="Y70">
        <v>1.36</v>
      </c>
      <c r="Z70">
        <v>0.01</v>
      </c>
      <c r="AA70">
        <v>0.05</v>
      </c>
      <c r="AB70">
        <v>0.01</v>
      </c>
      <c r="AC70">
        <v>0</v>
      </c>
      <c r="AD70">
        <v>5.9</v>
      </c>
      <c r="AE70">
        <v>263.3</v>
      </c>
    </row>
    <row r="71" spans="1:31" x14ac:dyDescent="0.25">
      <c r="A71" s="35" t="s">
        <v>605</v>
      </c>
      <c r="B71">
        <v>3</v>
      </c>
      <c r="C71" s="48" t="s">
        <v>202</v>
      </c>
      <c r="D71" t="s">
        <v>421</v>
      </c>
      <c r="E71" t="s">
        <v>49</v>
      </c>
      <c r="F71">
        <v>908</v>
      </c>
      <c r="G71" s="35">
        <v>3</v>
      </c>
      <c r="H71">
        <v>2.27</v>
      </c>
      <c r="I71">
        <v>3.67</v>
      </c>
      <c r="J71">
        <v>5.6</v>
      </c>
      <c r="K71">
        <v>0.313</v>
      </c>
      <c r="L71">
        <v>1.51</v>
      </c>
      <c r="M71">
        <v>17.75</v>
      </c>
      <c r="N71">
        <v>336</v>
      </c>
      <c r="O71">
        <v>10.3</v>
      </c>
      <c r="P71">
        <v>85.3</v>
      </c>
      <c r="Q71">
        <v>219</v>
      </c>
      <c r="R71">
        <v>20.7</v>
      </c>
      <c r="S71">
        <v>76.7</v>
      </c>
      <c r="T71">
        <v>1</v>
      </c>
      <c r="U71">
        <v>1.3</v>
      </c>
      <c r="V71">
        <v>0.2</v>
      </c>
      <c r="W71">
        <v>0</v>
      </c>
      <c r="X71">
        <v>0.47</v>
      </c>
      <c r="Y71">
        <v>1.74</v>
      </c>
      <c r="Z71">
        <v>0.02</v>
      </c>
      <c r="AA71">
        <v>0.03</v>
      </c>
      <c r="AB71">
        <v>0.01</v>
      </c>
      <c r="AC71">
        <v>0</v>
      </c>
      <c r="AD71">
        <v>7</v>
      </c>
      <c r="AE71">
        <v>255.3</v>
      </c>
    </row>
    <row r="72" spans="1:31" x14ac:dyDescent="0.25">
      <c r="A72" s="35" t="s">
        <v>1442</v>
      </c>
      <c r="B72">
        <v>3</v>
      </c>
      <c r="C72" s="48" t="s">
        <v>578</v>
      </c>
      <c r="D72" t="s">
        <v>417</v>
      </c>
      <c r="E72" t="s">
        <v>49</v>
      </c>
      <c r="F72">
        <v>826</v>
      </c>
      <c r="G72" s="35">
        <v>3</v>
      </c>
      <c r="H72">
        <v>1.9</v>
      </c>
      <c r="I72">
        <v>4.33</v>
      </c>
      <c r="J72">
        <v>6.3</v>
      </c>
      <c r="K72">
        <v>0.35099999999999998</v>
      </c>
      <c r="L72">
        <v>1.46</v>
      </c>
      <c r="M72">
        <v>18.02</v>
      </c>
      <c r="N72">
        <v>343</v>
      </c>
      <c r="O72">
        <v>11.6</v>
      </c>
      <c r="P72">
        <v>81.099999999999994</v>
      </c>
      <c r="Q72">
        <v>224</v>
      </c>
      <c r="R72">
        <v>37.299999999999997</v>
      </c>
      <c r="S72">
        <v>60.4</v>
      </c>
      <c r="T72">
        <v>0.7</v>
      </c>
      <c r="U72">
        <v>0.9</v>
      </c>
      <c r="V72">
        <v>0.6</v>
      </c>
      <c r="W72">
        <v>0</v>
      </c>
      <c r="X72">
        <v>0.71</v>
      </c>
      <c r="Y72">
        <v>1.1499999999999999</v>
      </c>
      <c r="Z72">
        <v>0.01</v>
      </c>
      <c r="AA72">
        <v>0.02</v>
      </c>
      <c r="AB72">
        <v>0.01</v>
      </c>
      <c r="AC72">
        <v>0</v>
      </c>
      <c r="AD72">
        <v>8.6999999999999993</v>
      </c>
      <c r="AE72">
        <v>376.2</v>
      </c>
    </row>
    <row r="73" spans="1:31" x14ac:dyDescent="0.25">
      <c r="A73" s="35" t="s">
        <v>763</v>
      </c>
      <c r="B73">
        <v>3</v>
      </c>
      <c r="C73" s="48" t="s">
        <v>145</v>
      </c>
      <c r="D73" t="s">
        <v>417</v>
      </c>
      <c r="E73" t="s">
        <v>49</v>
      </c>
      <c r="F73">
        <v>970</v>
      </c>
      <c r="G73" s="35">
        <v>3</v>
      </c>
      <c r="H73">
        <v>3.56</v>
      </c>
      <c r="I73">
        <v>3.6</v>
      </c>
      <c r="J73">
        <v>5.2</v>
      </c>
      <c r="K73">
        <v>0.28499999999999998</v>
      </c>
      <c r="L73">
        <v>1.44</v>
      </c>
      <c r="M73">
        <v>18.23</v>
      </c>
      <c r="N73">
        <v>298</v>
      </c>
      <c r="O73">
        <v>11.8</v>
      </c>
      <c r="P73">
        <v>79.2</v>
      </c>
      <c r="Q73">
        <v>224</v>
      </c>
      <c r="R73">
        <v>60.4</v>
      </c>
      <c r="S73">
        <v>36.9</v>
      </c>
      <c r="T73">
        <v>0.3</v>
      </c>
      <c r="U73">
        <v>2.2000000000000002</v>
      </c>
      <c r="V73">
        <v>0.1</v>
      </c>
      <c r="W73">
        <v>0.1</v>
      </c>
      <c r="X73">
        <v>2.15</v>
      </c>
      <c r="Y73">
        <v>1.31</v>
      </c>
      <c r="Z73">
        <v>0.01</v>
      </c>
      <c r="AA73">
        <v>0.08</v>
      </c>
      <c r="AB73">
        <v>0</v>
      </c>
      <c r="AC73">
        <v>0</v>
      </c>
      <c r="AD73">
        <v>7.4</v>
      </c>
      <c r="AE73">
        <v>265.5</v>
      </c>
    </row>
    <row r="74" spans="1:31" x14ac:dyDescent="0.25">
      <c r="A74" t="str">
        <f>C74&amp;B74</f>
        <v>A1</v>
      </c>
      <c r="B74">
        <v>1</v>
      </c>
      <c r="C74" s="48" t="s">
        <v>36</v>
      </c>
      <c r="D74" t="s">
        <v>417</v>
      </c>
      <c r="E74" s="35" t="s">
        <v>60</v>
      </c>
      <c r="F74" s="35">
        <v>803</v>
      </c>
      <c r="G74" s="35">
        <v>6</v>
      </c>
    </row>
    <row r="75" spans="1:31" x14ac:dyDescent="0.25">
      <c r="A75" t="str">
        <f>C75&amp;B75</f>
        <v>B1</v>
      </c>
      <c r="B75">
        <v>1</v>
      </c>
      <c r="C75" s="75" t="s">
        <v>39</v>
      </c>
      <c r="D75" t="s">
        <v>418</v>
      </c>
      <c r="E75" s="76" t="s">
        <v>49</v>
      </c>
      <c r="F75" s="77">
        <v>1222</v>
      </c>
      <c r="G75" s="35">
        <v>6</v>
      </c>
      <c r="H75">
        <v>0.87</v>
      </c>
      <c r="I75">
        <v>4.13</v>
      </c>
      <c r="J75">
        <v>5.7</v>
      </c>
      <c r="K75">
        <v>0.315</v>
      </c>
      <c r="L75">
        <v>1.39</v>
      </c>
      <c r="M75">
        <v>18.28</v>
      </c>
      <c r="N75">
        <v>377</v>
      </c>
      <c r="O75">
        <v>10.3</v>
      </c>
      <c r="P75">
        <v>76.2</v>
      </c>
      <c r="Q75">
        <v>211</v>
      </c>
      <c r="R75">
        <v>36.200000000000003</v>
      </c>
      <c r="S75">
        <v>60.4</v>
      </c>
      <c r="T75">
        <v>0.1</v>
      </c>
      <c r="U75">
        <v>3.2</v>
      </c>
      <c r="V75">
        <v>0</v>
      </c>
      <c r="W75">
        <v>0</v>
      </c>
      <c r="X75">
        <v>0.32</v>
      </c>
      <c r="Y75">
        <v>0.53</v>
      </c>
      <c r="Z75">
        <v>0</v>
      </c>
      <c r="AA75">
        <v>0.03</v>
      </c>
      <c r="AB75">
        <v>0</v>
      </c>
      <c r="AC75">
        <v>0</v>
      </c>
      <c r="AD75">
        <v>6.4</v>
      </c>
      <c r="AE75">
        <v>264.10000000000002</v>
      </c>
    </row>
    <row r="76" spans="1:31" x14ac:dyDescent="0.25">
      <c r="A76" t="str">
        <f>C76&amp;B76</f>
        <v>C1</v>
      </c>
      <c r="B76">
        <v>1</v>
      </c>
      <c r="C76" s="75" t="s">
        <v>43</v>
      </c>
      <c r="D76" t="s">
        <v>419</v>
      </c>
      <c r="E76" s="78" t="s">
        <v>49</v>
      </c>
      <c r="F76" s="79">
        <v>1065.9000000000001</v>
      </c>
      <c r="G76" s="35">
        <v>6</v>
      </c>
      <c r="H76">
        <v>0.63</v>
      </c>
      <c r="I76">
        <v>4.0599999999999996</v>
      </c>
      <c r="J76">
        <v>5.9</v>
      </c>
      <c r="K76">
        <v>0.308</v>
      </c>
      <c r="L76">
        <v>1.47</v>
      </c>
      <c r="M76">
        <v>19.329999999999998</v>
      </c>
      <c r="N76">
        <v>355</v>
      </c>
      <c r="O76">
        <v>10.3</v>
      </c>
      <c r="P76">
        <v>75.8</v>
      </c>
      <c r="Q76">
        <v>219</v>
      </c>
      <c r="R76">
        <v>25.6</v>
      </c>
      <c r="S76">
        <v>70.7</v>
      </c>
      <c r="T76">
        <v>0.2</v>
      </c>
      <c r="U76">
        <v>3.4</v>
      </c>
      <c r="V76">
        <v>0</v>
      </c>
      <c r="W76">
        <v>0</v>
      </c>
      <c r="X76">
        <v>0.16</v>
      </c>
      <c r="Y76">
        <v>0.45</v>
      </c>
      <c r="Z76">
        <v>0</v>
      </c>
      <c r="AA76">
        <v>0.02</v>
      </c>
      <c r="AB76">
        <v>0</v>
      </c>
      <c r="AC76">
        <v>0</v>
      </c>
      <c r="AD76">
        <v>7.9</v>
      </c>
      <c r="AE76">
        <v>320.10000000000002</v>
      </c>
    </row>
    <row r="77" spans="1:31" x14ac:dyDescent="0.25">
      <c r="C77" s="75"/>
      <c r="E77" s="78"/>
      <c r="F77" s="79"/>
    </row>
    <row r="78" spans="1:31" x14ac:dyDescent="0.25">
      <c r="A78" t="str">
        <f t="shared" ref="A78:A90" si="2">C78&amp;B78</f>
        <v>D1</v>
      </c>
      <c r="B78">
        <v>1</v>
      </c>
      <c r="C78" s="75" t="s">
        <v>45</v>
      </c>
      <c r="D78" t="s">
        <v>419</v>
      </c>
      <c r="E78" s="78" t="s">
        <v>49</v>
      </c>
      <c r="F78" s="79">
        <v>1224</v>
      </c>
      <c r="G78" s="35">
        <v>6</v>
      </c>
    </row>
    <row r="79" spans="1:31" x14ac:dyDescent="0.25">
      <c r="A79" t="str">
        <f t="shared" si="2"/>
        <v>E1</v>
      </c>
      <c r="B79">
        <v>1</v>
      </c>
      <c r="C79" s="75" t="s">
        <v>47</v>
      </c>
      <c r="D79" t="s">
        <v>419</v>
      </c>
      <c r="E79" s="78" t="s">
        <v>60</v>
      </c>
      <c r="F79" s="79">
        <v>1174</v>
      </c>
      <c r="G79" s="35">
        <v>6</v>
      </c>
      <c r="H79">
        <v>2.4900000000000002</v>
      </c>
      <c r="I79">
        <v>4.12</v>
      </c>
      <c r="J79">
        <v>6</v>
      </c>
      <c r="K79">
        <v>0.33100000000000002</v>
      </c>
      <c r="L79">
        <v>1.46</v>
      </c>
      <c r="M79">
        <v>18.149999999999999</v>
      </c>
      <c r="N79">
        <v>347</v>
      </c>
      <c r="O79">
        <v>11.1</v>
      </c>
      <c r="P79">
        <v>80.3</v>
      </c>
      <c r="Q79">
        <v>224</v>
      </c>
      <c r="R79">
        <v>64.099999999999994</v>
      </c>
      <c r="S79">
        <v>33.799999999999997</v>
      </c>
      <c r="T79">
        <v>0.4</v>
      </c>
      <c r="U79">
        <v>1.7</v>
      </c>
      <c r="V79">
        <v>0.1</v>
      </c>
      <c r="W79">
        <v>0</v>
      </c>
      <c r="X79">
        <v>1.59</v>
      </c>
      <c r="Y79">
        <v>0.84</v>
      </c>
      <c r="Z79">
        <v>0.01</v>
      </c>
      <c r="AA79">
        <v>0.04</v>
      </c>
      <c r="AB79">
        <v>0</v>
      </c>
      <c r="AC79">
        <v>0</v>
      </c>
      <c r="AD79">
        <v>6.2</v>
      </c>
      <c r="AE79">
        <v>255.3</v>
      </c>
    </row>
    <row r="80" spans="1:31" x14ac:dyDescent="0.25">
      <c r="A80" t="str">
        <f t="shared" si="2"/>
        <v>F1</v>
      </c>
      <c r="B80">
        <v>1</v>
      </c>
      <c r="C80" s="75" t="s">
        <v>49</v>
      </c>
      <c r="D80" t="s">
        <v>418</v>
      </c>
      <c r="E80" s="78" t="s">
        <v>49</v>
      </c>
      <c r="F80" s="79">
        <v>1038.5</v>
      </c>
      <c r="G80" s="35">
        <v>6</v>
      </c>
      <c r="H80">
        <v>0.87</v>
      </c>
      <c r="I80">
        <v>3.78</v>
      </c>
      <c r="J80">
        <v>5.7</v>
      </c>
      <c r="K80">
        <v>0.29899999999999999</v>
      </c>
      <c r="L80">
        <v>1.5</v>
      </c>
      <c r="M80">
        <v>18.91</v>
      </c>
      <c r="N80">
        <v>280</v>
      </c>
      <c r="O80">
        <v>11</v>
      </c>
      <c r="P80">
        <v>79.099999999999994</v>
      </c>
      <c r="Q80">
        <v>224</v>
      </c>
      <c r="R80">
        <v>32</v>
      </c>
      <c r="S80">
        <v>62.3</v>
      </c>
      <c r="T80">
        <v>0.6</v>
      </c>
      <c r="U80">
        <v>5.2</v>
      </c>
      <c r="V80">
        <v>0</v>
      </c>
      <c r="W80">
        <v>0</v>
      </c>
      <c r="X80">
        <v>0.28000000000000003</v>
      </c>
      <c r="Y80">
        <v>0.54</v>
      </c>
      <c r="Z80">
        <v>0</v>
      </c>
      <c r="AA80">
        <v>0.04</v>
      </c>
      <c r="AB80">
        <v>0</v>
      </c>
      <c r="AC80">
        <v>0</v>
      </c>
      <c r="AD80">
        <v>6.6</v>
      </c>
      <c r="AE80">
        <v>251.2</v>
      </c>
    </row>
    <row r="81" spans="1:31" x14ac:dyDescent="0.25">
      <c r="A81" t="str">
        <f t="shared" si="2"/>
        <v>G1</v>
      </c>
      <c r="B81">
        <v>1</v>
      </c>
      <c r="C81" s="75" t="s">
        <v>51</v>
      </c>
      <c r="D81" t="s">
        <v>419</v>
      </c>
      <c r="E81" s="78" t="s">
        <v>49</v>
      </c>
      <c r="F81" s="79">
        <v>932.1</v>
      </c>
      <c r="G81" s="35">
        <v>6</v>
      </c>
      <c r="H81">
        <v>0.68</v>
      </c>
      <c r="I81">
        <v>3.96</v>
      </c>
      <c r="J81">
        <v>5.4</v>
      </c>
      <c r="K81">
        <v>0.28599999999999998</v>
      </c>
      <c r="L81">
        <v>1.37</v>
      </c>
      <c r="M81">
        <v>19.010000000000002</v>
      </c>
      <c r="N81">
        <v>328</v>
      </c>
      <c r="O81">
        <v>11.2</v>
      </c>
      <c r="P81">
        <v>72.2</v>
      </c>
      <c r="Q81">
        <v>216</v>
      </c>
      <c r="R81">
        <v>9.9</v>
      </c>
      <c r="S81">
        <v>85.4</v>
      </c>
      <c r="T81">
        <v>0.7</v>
      </c>
      <c r="U81">
        <v>3.8</v>
      </c>
      <c r="V81">
        <v>0.2</v>
      </c>
      <c r="W81">
        <v>0</v>
      </c>
      <c r="X81">
        <v>7.0000000000000007E-2</v>
      </c>
      <c r="Y81">
        <v>0.57999999999999996</v>
      </c>
      <c r="Z81">
        <v>0</v>
      </c>
      <c r="AA81">
        <v>0.03</v>
      </c>
      <c r="AB81">
        <v>0</v>
      </c>
      <c r="AC81">
        <v>0</v>
      </c>
      <c r="AD81">
        <v>6.2</v>
      </c>
      <c r="AE81">
        <v>246.5</v>
      </c>
    </row>
    <row r="82" spans="1:31" x14ac:dyDescent="0.25">
      <c r="A82" t="str">
        <f t="shared" si="2"/>
        <v>H1</v>
      </c>
      <c r="B82">
        <v>1</v>
      </c>
      <c r="C82" s="75" t="s">
        <v>53</v>
      </c>
      <c r="D82" t="s">
        <v>421</v>
      </c>
      <c r="E82" s="78" t="s">
        <v>60</v>
      </c>
      <c r="F82" s="79">
        <v>1165</v>
      </c>
      <c r="G82" s="35">
        <v>6</v>
      </c>
      <c r="H82">
        <v>2.11</v>
      </c>
      <c r="I82">
        <v>3.93</v>
      </c>
      <c r="J82">
        <v>5.5</v>
      </c>
      <c r="K82">
        <v>0.311</v>
      </c>
      <c r="L82">
        <v>1.41</v>
      </c>
      <c r="M82">
        <v>17.78</v>
      </c>
      <c r="N82">
        <v>297</v>
      </c>
      <c r="O82">
        <v>10.6</v>
      </c>
      <c r="P82">
        <v>79.2</v>
      </c>
      <c r="Q82">
        <v>212</v>
      </c>
      <c r="R82">
        <v>51.9</v>
      </c>
      <c r="S82">
        <v>46.5</v>
      </c>
      <c r="T82">
        <v>0.5</v>
      </c>
      <c r="U82">
        <v>0.9</v>
      </c>
      <c r="V82">
        <v>0.1</v>
      </c>
      <c r="W82">
        <v>0</v>
      </c>
      <c r="X82">
        <v>1.1000000000000001</v>
      </c>
      <c r="Y82">
        <v>0.98</v>
      </c>
      <c r="Z82">
        <v>0.01</v>
      </c>
      <c r="AA82">
        <v>0.02</v>
      </c>
      <c r="AB82">
        <v>0</v>
      </c>
      <c r="AC82">
        <v>0</v>
      </c>
      <c r="AD82">
        <v>5.6</v>
      </c>
      <c r="AE82">
        <v>219.6</v>
      </c>
    </row>
    <row r="83" spans="1:31" x14ac:dyDescent="0.25">
      <c r="A83" t="str">
        <f t="shared" si="2"/>
        <v>I1</v>
      </c>
      <c r="B83">
        <v>1</v>
      </c>
      <c r="C83" s="75" t="s">
        <v>56</v>
      </c>
      <c r="D83" t="s">
        <v>418</v>
      </c>
      <c r="E83" s="78" t="s">
        <v>60</v>
      </c>
      <c r="F83" s="79">
        <v>1075</v>
      </c>
      <c r="G83" s="35">
        <v>6</v>
      </c>
      <c r="H83">
        <v>0.37</v>
      </c>
      <c r="I83">
        <v>4.25</v>
      </c>
      <c r="J83">
        <v>6.1</v>
      </c>
      <c r="K83">
        <v>0.34100000000000003</v>
      </c>
      <c r="L83">
        <v>1.45</v>
      </c>
      <c r="M83">
        <v>17.989999999999998</v>
      </c>
      <c r="N83">
        <v>283</v>
      </c>
      <c r="O83">
        <v>11.2</v>
      </c>
      <c r="P83">
        <v>80.3</v>
      </c>
      <c r="Q83">
        <v>223</v>
      </c>
      <c r="R83">
        <v>44.8</v>
      </c>
      <c r="S83">
        <v>47</v>
      </c>
      <c r="T83">
        <v>0.4</v>
      </c>
      <c r="U83">
        <v>7.1</v>
      </c>
      <c r="V83">
        <v>0.7</v>
      </c>
      <c r="W83">
        <v>0</v>
      </c>
      <c r="X83">
        <v>0.17</v>
      </c>
      <c r="Y83">
        <v>0.17</v>
      </c>
      <c r="Z83">
        <v>0</v>
      </c>
      <c r="AA83">
        <v>0.03</v>
      </c>
      <c r="AB83">
        <v>0</v>
      </c>
      <c r="AC83">
        <v>0</v>
      </c>
      <c r="AD83">
        <v>5</v>
      </c>
      <c r="AE83">
        <v>210.9</v>
      </c>
    </row>
    <row r="84" spans="1:31" x14ac:dyDescent="0.25">
      <c r="A84" t="str">
        <f t="shared" si="2"/>
        <v>J1</v>
      </c>
      <c r="B84">
        <v>1</v>
      </c>
      <c r="C84" s="75" t="s">
        <v>80</v>
      </c>
      <c r="D84" t="s">
        <v>417</v>
      </c>
      <c r="E84" s="78" t="s">
        <v>60</v>
      </c>
      <c r="F84" s="79">
        <v>1324.5</v>
      </c>
      <c r="G84" s="35">
        <v>6</v>
      </c>
      <c r="H84">
        <v>1.23</v>
      </c>
      <c r="I84">
        <v>2.72</v>
      </c>
      <c r="J84">
        <v>4.2</v>
      </c>
      <c r="K84">
        <v>0.21299999999999999</v>
      </c>
      <c r="L84">
        <v>1.55</v>
      </c>
      <c r="M84">
        <v>19.8</v>
      </c>
      <c r="N84">
        <v>226</v>
      </c>
      <c r="O84">
        <v>10.7</v>
      </c>
      <c r="P84">
        <v>78.2</v>
      </c>
      <c r="Q84">
        <v>212</v>
      </c>
      <c r="R84">
        <v>25.9</v>
      </c>
      <c r="S84">
        <v>70.2</v>
      </c>
      <c r="T84">
        <v>0.2</v>
      </c>
      <c r="U84">
        <v>3.7</v>
      </c>
      <c r="V84">
        <v>0</v>
      </c>
      <c r="W84">
        <v>0</v>
      </c>
      <c r="X84">
        <v>0.32</v>
      </c>
      <c r="Y84">
        <v>0.86</v>
      </c>
      <c r="Z84">
        <v>0</v>
      </c>
      <c r="AA84">
        <v>0.05</v>
      </c>
      <c r="AB84">
        <v>0</v>
      </c>
      <c r="AC84">
        <v>0</v>
      </c>
      <c r="AD84">
        <v>7.9</v>
      </c>
      <c r="AE84">
        <v>214.8</v>
      </c>
    </row>
    <row r="85" spans="1:31" x14ac:dyDescent="0.25">
      <c r="A85" t="str">
        <f t="shared" si="2"/>
        <v>K1</v>
      </c>
      <c r="B85">
        <v>1</v>
      </c>
      <c r="C85" s="75" t="s">
        <v>82</v>
      </c>
      <c r="D85" t="s">
        <v>420</v>
      </c>
      <c r="E85" s="78" t="s">
        <v>60</v>
      </c>
      <c r="F85" s="79">
        <v>1206.8</v>
      </c>
      <c r="G85" s="35">
        <v>6</v>
      </c>
      <c r="H85">
        <v>2.11</v>
      </c>
      <c r="I85">
        <v>4.25</v>
      </c>
      <c r="J85">
        <v>5.9</v>
      </c>
      <c r="K85">
        <v>0.315</v>
      </c>
      <c r="L85">
        <v>1.38</v>
      </c>
      <c r="M85">
        <v>18.63</v>
      </c>
      <c r="N85">
        <v>348</v>
      </c>
      <c r="O85">
        <v>11.9</v>
      </c>
      <c r="P85">
        <v>74.2</v>
      </c>
      <c r="Q85">
        <v>221</v>
      </c>
      <c r="R85">
        <v>42.5</v>
      </c>
      <c r="S85">
        <v>55.4</v>
      </c>
      <c r="T85">
        <v>0.9</v>
      </c>
      <c r="U85">
        <v>1.2</v>
      </c>
      <c r="V85">
        <v>0</v>
      </c>
      <c r="W85">
        <v>0</v>
      </c>
      <c r="X85">
        <v>0.9</v>
      </c>
      <c r="Y85">
        <v>1.17</v>
      </c>
      <c r="Z85">
        <v>0.02</v>
      </c>
      <c r="AA85">
        <v>0.02</v>
      </c>
      <c r="AB85">
        <v>0</v>
      </c>
      <c r="AC85">
        <v>0</v>
      </c>
      <c r="AD85">
        <v>6.6</v>
      </c>
      <c r="AE85">
        <v>282.10000000000002</v>
      </c>
    </row>
    <row r="86" spans="1:31" x14ac:dyDescent="0.25">
      <c r="A86" t="str">
        <f t="shared" si="2"/>
        <v>L1</v>
      </c>
      <c r="B86">
        <v>1</v>
      </c>
      <c r="C86" s="75" t="s">
        <v>58</v>
      </c>
      <c r="D86" t="s">
        <v>421</v>
      </c>
      <c r="E86" s="78" t="s">
        <v>49</v>
      </c>
      <c r="F86" s="79">
        <v>1129</v>
      </c>
      <c r="G86" s="35">
        <v>6</v>
      </c>
      <c r="H86">
        <v>2.2400000000000002</v>
      </c>
      <c r="I86">
        <v>4.16</v>
      </c>
      <c r="J86">
        <v>6.1</v>
      </c>
      <c r="K86">
        <v>0.33300000000000002</v>
      </c>
      <c r="L86">
        <v>1.46</v>
      </c>
      <c r="M86">
        <v>18.25</v>
      </c>
      <c r="N86">
        <v>471</v>
      </c>
      <c r="O86">
        <v>9.8000000000000007</v>
      </c>
      <c r="P86">
        <v>80</v>
      </c>
      <c r="Q86">
        <v>216</v>
      </c>
      <c r="R86">
        <v>50</v>
      </c>
      <c r="S86">
        <v>47.6</v>
      </c>
      <c r="T86">
        <v>0.9</v>
      </c>
      <c r="U86">
        <v>1.4</v>
      </c>
      <c r="V86">
        <v>0.2</v>
      </c>
      <c r="W86">
        <v>0</v>
      </c>
      <c r="X86">
        <v>1.1200000000000001</v>
      </c>
      <c r="Y86">
        <v>1.06</v>
      </c>
      <c r="Z86">
        <v>0.02</v>
      </c>
      <c r="AA86">
        <v>0.03</v>
      </c>
      <c r="AB86">
        <v>0</v>
      </c>
      <c r="AC86">
        <v>0</v>
      </c>
      <c r="AD86">
        <v>7.1</v>
      </c>
      <c r="AE86">
        <v>294.5</v>
      </c>
    </row>
    <row r="87" spans="1:31" x14ac:dyDescent="0.25">
      <c r="A87" t="str">
        <f t="shared" si="2"/>
        <v>M1</v>
      </c>
      <c r="B87">
        <v>1</v>
      </c>
      <c r="C87" s="75" t="s">
        <v>60</v>
      </c>
      <c r="D87" t="s">
        <v>417</v>
      </c>
      <c r="E87" s="78" t="s">
        <v>49</v>
      </c>
      <c r="F87" s="79">
        <v>1191</v>
      </c>
      <c r="G87" s="35">
        <v>6</v>
      </c>
      <c r="H87">
        <v>0.51</v>
      </c>
      <c r="I87">
        <v>4.4000000000000004</v>
      </c>
      <c r="J87">
        <v>5.8</v>
      </c>
      <c r="K87">
        <v>0.308</v>
      </c>
      <c r="L87">
        <v>1.33</v>
      </c>
      <c r="M87">
        <v>18.96</v>
      </c>
      <c r="N87">
        <v>278</v>
      </c>
      <c r="O87">
        <v>11.4</v>
      </c>
      <c r="P87">
        <v>70.099999999999994</v>
      </c>
      <c r="Q87">
        <v>214</v>
      </c>
      <c r="R87">
        <v>8.9</v>
      </c>
      <c r="S87">
        <v>86.6</v>
      </c>
      <c r="T87">
        <v>0.5</v>
      </c>
      <c r="U87">
        <v>3.8</v>
      </c>
      <c r="V87">
        <v>0.3</v>
      </c>
      <c r="W87">
        <v>0</v>
      </c>
      <c r="X87">
        <v>0.05</v>
      </c>
      <c r="Y87">
        <v>0.44</v>
      </c>
      <c r="Z87">
        <v>0</v>
      </c>
      <c r="AA87">
        <v>0.02</v>
      </c>
      <c r="AB87">
        <v>0</v>
      </c>
      <c r="AC87">
        <v>0</v>
      </c>
      <c r="AD87">
        <v>7</v>
      </c>
      <c r="AE87">
        <v>310.2</v>
      </c>
    </row>
    <row r="88" spans="1:31" x14ac:dyDescent="0.25">
      <c r="A88" t="str">
        <f t="shared" si="2"/>
        <v>N1</v>
      </c>
      <c r="B88">
        <v>1</v>
      </c>
      <c r="C88" s="75" t="s">
        <v>62</v>
      </c>
      <c r="D88" t="s">
        <v>418</v>
      </c>
      <c r="E88" s="78" t="s">
        <v>60</v>
      </c>
      <c r="F88" s="79">
        <v>1468</v>
      </c>
      <c r="G88" s="35">
        <v>6</v>
      </c>
      <c r="H88">
        <v>0.27</v>
      </c>
      <c r="I88">
        <v>3.26</v>
      </c>
      <c r="J88">
        <v>4.7</v>
      </c>
      <c r="K88">
        <v>0.254</v>
      </c>
      <c r="L88">
        <v>1.45</v>
      </c>
      <c r="M88">
        <v>18.57</v>
      </c>
      <c r="N88">
        <v>190</v>
      </c>
      <c r="O88">
        <v>11.4</v>
      </c>
      <c r="P88">
        <v>77.900000000000006</v>
      </c>
      <c r="Q88">
        <v>222</v>
      </c>
      <c r="R88">
        <v>9</v>
      </c>
      <c r="S88">
        <v>87</v>
      </c>
      <c r="T88">
        <v>1.3</v>
      </c>
      <c r="U88">
        <v>2.7</v>
      </c>
      <c r="V88">
        <v>0</v>
      </c>
      <c r="W88">
        <v>0</v>
      </c>
      <c r="X88">
        <v>0.02</v>
      </c>
      <c r="Y88">
        <v>0.24</v>
      </c>
      <c r="Z88">
        <v>0</v>
      </c>
      <c r="AA88">
        <v>0.01</v>
      </c>
      <c r="AB88">
        <v>0</v>
      </c>
      <c r="AC88">
        <v>0</v>
      </c>
      <c r="AD88">
        <v>7.5</v>
      </c>
      <c r="AE88">
        <v>245.2</v>
      </c>
    </row>
    <row r="89" spans="1:31" x14ac:dyDescent="0.25">
      <c r="A89" t="str">
        <f t="shared" si="2"/>
        <v>O1</v>
      </c>
      <c r="B89">
        <v>1</v>
      </c>
      <c r="C89" s="75" t="s">
        <v>64</v>
      </c>
      <c r="D89" t="s">
        <v>419</v>
      </c>
      <c r="E89" s="78" t="s">
        <v>60</v>
      </c>
      <c r="F89" s="79">
        <v>1314.8</v>
      </c>
      <c r="G89" s="35">
        <v>6</v>
      </c>
      <c r="H89">
        <v>1.72</v>
      </c>
      <c r="I89">
        <v>4.29</v>
      </c>
      <c r="J89">
        <v>6</v>
      </c>
      <c r="K89">
        <v>0.30499999999999999</v>
      </c>
      <c r="L89">
        <v>1.4</v>
      </c>
      <c r="M89">
        <v>19.7</v>
      </c>
      <c r="N89">
        <v>289</v>
      </c>
      <c r="O89">
        <v>11.1</v>
      </c>
      <c r="P89">
        <v>71.2</v>
      </c>
      <c r="Q89">
        <v>230</v>
      </c>
      <c r="R89">
        <v>67.2</v>
      </c>
      <c r="S89">
        <v>28.9</v>
      </c>
      <c r="T89">
        <v>0.1</v>
      </c>
      <c r="U89">
        <v>3.8</v>
      </c>
      <c r="V89">
        <v>0.1</v>
      </c>
      <c r="W89">
        <v>0</v>
      </c>
      <c r="X89">
        <v>1.1499999999999999</v>
      </c>
      <c r="Y89">
        <v>0.5</v>
      </c>
      <c r="Z89">
        <v>0</v>
      </c>
      <c r="AA89">
        <v>0.06</v>
      </c>
      <c r="AB89">
        <v>0</v>
      </c>
      <c r="AC89">
        <v>0</v>
      </c>
      <c r="AD89">
        <v>5.9</v>
      </c>
      <c r="AE89">
        <v>252.7</v>
      </c>
    </row>
    <row r="90" spans="1:31" x14ac:dyDescent="0.25">
      <c r="A90" t="str">
        <f t="shared" si="2"/>
        <v>P1</v>
      </c>
      <c r="B90">
        <v>1</v>
      </c>
      <c r="C90" s="75" t="s">
        <v>66</v>
      </c>
      <c r="D90" t="s">
        <v>417</v>
      </c>
      <c r="E90" s="78" t="s">
        <v>60</v>
      </c>
      <c r="F90" s="79">
        <v>981</v>
      </c>
      <c r="G90" s="35">
        <v>6</v>
      </c>
      <c r="H90">
        <v>2.17</v>
      </c>
      <c r="I90">
        <v>4.3099999999999996</v>
      </c>
      <c r="J90">
        <v>6.6</v>
      </c>
      <c r="K90">
        <v>0.35699999999999998</v>
      </c>
      <c r="L90">
        <v>1.53</v>
      </c>
      <c r="M90">
        <v>18.41</v>
      </c>
      <c r="N90">
        <v>318</v>
      </c>
      <c r="O90">
        <v>12.6</v>
      </c>
      <c r="P90">
        <v>82.9</v>
      </c>
      <c r="Q90">
        <v>200</v>
      </c>
      <c r="R90">
        <v>6.7</v>
      </c>
      <c r="S90">
        <v>89.6</v>
      </c>
      <c r="T90">
        <v>0.5</v>
      </c>
      <c r="U90">
        <v>0.7</v>
      </c>
      <c r="V90">
        <v>2.4</v>
      </c>
      <c r="W90">
        <v>0.1</v>
      </c>
      <c r="X90">
        <v>0.15</v>
      </c>
      <c r="Y90">
        <v>1.94</v>
      </c>
      <c r="Z90">
        <v>0.01</v>
      </c>
      <c r="AA90">
        <v>0.02</v>
      </c>
      <c r="AB90">
        <v>0.05</v>
      </c>
      <c r="AC90">
        <v>0</v>
      </c>
      <c r="AD90">
        <v>7.6</v>
      </c>
      <c r="AE90">
        <v>328</v>
      </c>
    </row>
    <row r="91" spans="1:31" x14ac:dyDescent="0.25">
      <c r="C91" s="75"/>
      <c r="E91" s="78"/>
      <c r="F91" s="79"/>
    </row>
    <row r="92" spans="1:31" x14ac:dyDescent="0.25">
      <c r="A92" t="str">
        <f t="shared" ref="A92:A121" si="3">C92&amp;B92</f>
        <v>R1</v>
      </c>
      <c r="B92">
        <v>1</v>
      </c>
      <c r="C92" s="75" t="s">
        <v>68</v>
      </c>
      <c r="D92" t="s">
        <v>417</v>
      </c>
      <c r="E92" s="78" t="s">
        <v>49</v>
      </c>
      <c r="F92" s="79">
        <v>988.2</v>
      </c>
      <c r="G92" s="35">
        <v>6</v>
      </c>
      <c r="H92">
        <v>1.19</v>
      </c>
      <c r="I92">
        <v>2.4700000000000002</v>
      </c>
      <c r="J92">
        <v>3.8</v>
      </c>
      <c r="K92">
        <v>0.19500000000000001</v>
      </c>
      <c r="L92">
        <v>1.54</v>
      </c>
      <c r="M92">
        <v>19.55</v>
      </c>
      <c r="N92">
        <v>256</v>
      </c>
      <c r="O92">
        <v>11.1</v>
      </c>
      <c r="P92">
        <v>78.599999999999994</v>
      </c>
      <c r="Q92">
        <v>203</v>
      </c>
      <c r="R92">
        <v>37.9</v>
      </c>
      <c r="S92">
        <v>55.1</v>
      </c>
      <c r="T92">
        <v>0.3</v>
      </c>
      <c r="U92">
        <v>6.7</v>
      </c>
      <c r="V92">
        <v>0</v>
      </c>
      <c r="W92">
        <v>0</v>
      </c>
      <c r="X92">
        <v>0.45</v>
      </c>
      <c r="Y92">
        <v>0.65</v>
      </c>
      <c r="Z92">
        <v>0</v>
      </c>
      <c r="AA92">
        <v>0.08</v>
      </c>
      <c r="AB92">
        <v>0</v>
      </c>
      <c r="AC92">
        <v>0</v>
      </c>
      <c r="AD92">
        <v>5.3</v>
      </c>
      <c r="AE92">
        <v>130.9</v>
      </c>
    </row>
    <row r="93" spans="1:31" x14ac:dyDescent="0.25">
      <c r="A93" t="str">
        <f t="shared" si="3"/>
        <v>S1</v>
      </c>
      <c r="B93">
        <v>1</v>
      </c>
      <c r="C93" s="75" t="s">
        <v>70</v>
      </c>
      <c r="D93" t="s">
        <v>420</v>
      </c>
      <c r="E93" s="78" t="s">
        <v>49</v>
      </c>
      <c r="F93" s="79">
        <v>1004</v>
      </c>
      <c r="G93" s="35">
        <v>6</v>
      </c>
      <c r="H93">
        <v>2.21</v>
      </c>
      <c r="I93">
        <v>3.97</v>
      </c>
      <c r="J93">
        <v>6.7</v>
      </c>
      <c r="K93">
        <v>0.34899999999999998</v>
      </c>
      <c r="L93">
        <v>1.68</v>
      </c>
      <c r="M93">
        <v>19.100000000000001</v>
      </c>
      <c r="N93">
        <v>326</v>
      </c>
      <c r="O93">
        <v>10.6</v>
      </c>
      <c r="P93">
        <v>87.9</v>
      </c>
      <c r="Q93">
        <v>219</v>
      </c>
      <c r="R93">
        <v>39.6</v>
      </c>
      <c r="S93">
        <v>57.7</v>
      </c>
      <c r="T93">
        <v>0.8</v>
      </c>
      <c r="U93">
        <v>1.9</v>
      </c>
      <c r="V93">
        <v>0</v>
      </c>
      <c r="W93">
        <v>0</v>
      </c>
      <c r="X93">
        <v>0.88</v>
      </c>
      <c r="Y93">
        <v>1.28</v>
      </c>
      <c r="Z93">
        <v>0.02</v>
      </c>
      <c r="AA93">
        <v>0.04</v>
      </c>
      <c r="AB93">
        <v>0</v>
      </c>
      <c r="AC93">
        <v>0</v>
      </c>
      <c r="AD93">
        <v>6</v>
      </c>
      <c r="AE93">
        <v>239.6</v>
      </c>
    </row>
    <row r="94" spans="1:31" x14ac:dyDescent="0.25">
      <c r="A94" t="str">
        <f t="shared" si="3"/>
        <v>A2</v>
      </c>
      <c r="B94">
        <v>2</v>
      </c>
      <c r="C94" s="75" t="s">
        <v>36</v>
      </c>
      <c r="D94" t="s">
        <v>417</v>
      </c>
      <c r="E94" s="78" t="s">
        <v>60</v>
      </c>
      <c r="F94" s="79">
        <v>1210</v>
      </c>
      <c r="G94" s="35">
        <v>6</v>
      </c>
      <c r="H94">
        <v>0.95</v>
      </c>
      <c r="I94">
        <v>3.98</v>
      </c>
      <c r="J94">
        <v>6.3</v>
      </c>
      <c r="K94">
        <v>0.32800000000000001</v>
      </c>
      <c r="L94">
        <v>1.57</v>
      </c>
      <c r="M94">
        <v>19.079999999999998</v>
      </c>
      <c r="N94">
        <v>325</v>
      </c>
      <c r="O94">
        <v>10.199999999999999</v>
      </c>
      <c r="P94">
        <v>82.3</v>
      </c>
      <c r="Q94">
        <v>205</v>
      </c>
      <c r="R94">
        <v>20.8</v>
      </c>
      <c r="S94">
        <v>64.099999999999994</v>
      </c>
      <c r="T94">
        <v>7.2</v>
      </c>
      <c r="U94">
        <v>7.8</v>
      </c>
      <c r="V94">
        <v>0.1</v>
      </c>
      <c r="W94">
        <v>0</v>
      </c>
      <c r="X94">
        <v>0.2</v>
      </c>
      <c r="Y94">
        <v>0.61</v>
      </c>
      <c r="Z94">
        <v>7.0000000000000007E-2</v>
      </c>
      <c r="AA94">
        <v>7.0000000000000007E-2</v>
      </c>
      <c r="AB94">
        <v>0</v>
      </c>
      <c r="AC94">
        <v>0</v>
      </c>
      <c r="AD94">
        <v>7.7</v>
      </c>
      <c r="AE94">
        <v>307</v>
      </c>
    </row>
    <row r="95" spans="1:31" x14ac:dyDescent="0.25">
      <c r="A95" t="str">
        <f t="shared" si="3"/>
        <v>B2</v>
      </c>
      <c r="B95">
        <v>2</v>
      </c>
      <c r="C95" s="75" t="s">
        <v>39</v>
      </c>
      <c r="D95" t="s">
        <v>417</v>
      </c>
      <c r="E95" s="78" t="s">
        <v>49</v>
      </c>
      <c r="F95" s="79">
        <v>1015</v>
      </c>
      <c r="G95" s="35">
        <v>6</v>
      </c>
      <c r="H95">
        <v>1.89</v>
      </c>
      <c r="I95">
        <v>4.58</v>
      </c>
      <c r="J95">
        <v>6.2</v>
      </c>
      <c r="K95">
        <v>0.33600000000000002</v>
      </c>
      <c r="L95">
        <v>1.36</v>
      </c>
      <c r="M95">
        <v>18.55</v>
      </c>
      <c r="N95">
        <v>303</v>
      </c>
      <c r="O95">
        <v>12.5</v>
      </c>
      <c r="P95">
        <v>73.2</v>
      </c>
      <c r="Q95">
        <v>213</v>
      </c>
      <c r="R95">
        <v>54.5</v>
      </c>
      <c r="S95">
        <v>43.7</v>
      </c>
      <c r="T95">
        <v>0.3</v>
      </c>
      <c r="U95">
        <v>1.4</v>
      </c>
      <c r="V95">
        <v>0</v>
      </c>
      <c r="W95">
        <v>0.1</v>
      </c>
      <c r="X95">
        <v>1.03</v>
      </c>
      <c r="Y95">
        <v>0.83</v>
      </c>
      <c r="Z95">
        <v>0.01</v>
      </c>
      <c r="AA95">
        <v>0.03</v>
      </c>
      <c r="AB95">
        <v>0</v>
      </c>
      <c r="AC95">
        <v>0</v>
      </c>
      <c r="AD95">
        <v>6.8</v>
      </c>
      <c r="AE95">
        <v>311.7</v>
      </c>
    </row>
    <row r="96" spans="1:31" x14ac:dyDescent="0.25">
      <c r="A96" t="str">
        <f t="shared" si="3"/>
        <v>C2</v>
      </c>
      <c r="B96">
        <v>2</v>
      </c>
      <c r="C96" s="75" t="s">
        <v>43</v>
      </c>
      <c r="D96" t="s">
        <v>417</v>
      </c>
      <c r="E96" s="78" t="s">
        <v>49</v>
      </c>
      <c r="F96" s="79">
        <v>1210</v>
      </c>
      <c r="G96" s="35">
        <v>6</v>
      </c>
      <c r="H96">
        <v>3.05</v>
      </c>
      <c r="I96">
        <v>5.44</v>
      </c>
      <c r="J96">
        <v>7.2</v>
      </c>
      <c r="K96">
        <v>0.39500000000000002</v>
      </c>
      <c r="L96">
        <v>1.32</v>
      </c>
      <c r="M96">
        <v>18.170000000000002</v>
      </c>
      <c r="N96">
        <v>318</v>
      </c>
      <c r="O96">
        <v>12.2</v>
      </c>
      <c r="P96">
        <v>72.599999999999994</v>
      </c>
      <c r="Q96">
        <v>206</v>
      </c>
      <c r="R96">
        <v>54.6</v>
      </c>
      <c r="S96">
        <v>41.9</v>
      </c>
      <c r="T96">
        <v>0.1</v>
      </c>
      <c r="U96">
        <v>3.4</v>
      </c>
      <c r="V96">
        <v>0</v>
      </c>
      <c r="W96">
        <v>0</v>
      </c>
      <c r="X96">
        <v>1.67</v>
      </c>
      <c r="Y96">
        <v>1.28</v>
      </c>
      <c r="Z96">
        <v>0</v>
      </c>
      <c r="AA96">
        <v>0.1</v>
      </c>
      <c r="AB96">
        <v>0</v>
      </c>
      <c r="AC96">
        <v>0</v>
      </c>
      <c r="AD96">
        <v>4.3</v>
      </c>
      <c r="AE96">
        <v>231.7</v>
      </c>
    </row>
    <row r="97" spans="1:31" x14ac:dyDescent="0.25">
      <c r="A97" t="str">
        <f t="shared" si="3"/>
        <v>D2</v>
      </c>
      <c r="B97">
        <v>2</v>
      </c>
      <c r="C97" s="75" t="s">
        <v>45</v>
      </c>
      <c r="D97" t="s">
        <v>419</v>
      </c>
      <c r="E97" s="78" t="s">
        <v>49</v>
      </c>
      <c r="F97" s="79">
        <v>1041</v>
      </c>
      <c r="G97" s="35">
        <v>6</v>
      </c>
      <c r="H97">
        <v>1.63</v>
      </c>
      <c r="I97">
        <v>2.97</v>
      </c>
      <c r="J97">
        <v>4.0999999999999996</v>
      </c>
      <c r="K97">
        <v>0.218</v>
      </c>
      <c r="L97">
        <v>1.38</v>
      </c>
      <c r="M97">
        <v>18.77</v>
      </c>
      <c r="N97">
        <v>190</v>
      </c>
      <c r="O97">
        <v>12.6</v>
      </c>
      <c r="P97">
        <v>73.5</v>
      </c>
      <c r="Q97">
        <v>202</v>
      </c>
      <c r="R97">
        <v>46.6</v>
      </c>
      <c r="S97">
        <v>49.3</v>
      </c>
      <c r="T97">
        <v>0.4</v>
      </c>
      <c r="U97">
        <v>3.5</v>
      </c>
      <c r="V97">
        <v>0.2</v>
      </c>
      <c r="W97">
        <v>0</v>
      </c>
      <c r="X97">
        <v>0.76</v>
      </c>
      <c r="Y97">
        <v>0.8</v>
      </c>
      <c r="Z97">
        <v>0.01</v>
      </c>
      <c r="AA97">
        <v>0.06</v>
      </c>
      <c r="AB97">
        <v>0</v>
      </c>
      <c r="AC97">
        <v>0</v>
      </c>
      <c r="AD97">
        <v>7.2</v>
      </c>
      <c r="AE97">
        <v>212.5</v>
      </c>
    </row>
    <row r="98" spans="1:31" x14ac:dyDescent="0.25">
      <c r="A98" t="str">
        <f t="shared" si="3"/>
        <v>E2</v>
      </c>
      <c r="B98">
        <v>2</v>
      </c>
      <c r="C98" s="75" t="s">
        <v>47</v>
      </c>
      <c r="D98" t="s">
        <v>419</v>
      </c>
      <c r="E98" s="78" t="s">
        <v>49</v>
      </c>
      <c r="F98" s="79">
        <v>1260.5999999999999</v>
      </c>
      <c r="G98" s="35">
        <v>6</v>
      </c>
      <c r="H98">
        <v>1.83</v>
      </c>
      <c r="I98">
        <v>4.99</v>
      </c>
      <c r="J98">
        <v>7.1</v>
      </c>
      <c r="K98">
        <v>0.39100000000000001</v>
      </c>
      <c r="L98">
        <v>1.43</v>
      </c>
      <c r="M98">
        <v>18.239999999999998</v>
      </c>
      <c r="N98">
        <v>363</v>
      </c>
      <c r="O98">
        <v>10.8</v>
      </c>
      <c r="P98">
        <v>78.3</v>
      </c>
      <c r="Q98">
        <v>224</v>
      </c>
      <c r="R98">
        <v>55.5</v>
      </c>
      <c r="S98">
        <v>42.2</v>
      </c>
      <c r="T98">
        <v>0.1</v>
      </c>
      <c r="U98">
        <v>2.2000000000000002</v>
      </c>
      <c r="V98">
        <v>0</v>
      </c>
      <c r="W98">
        <v>0</v>
      </c>
      <c r="X98">
        <v>1.01</v>
      </c>
      <c r="Y98">
        <v>0.77</v>
      </c>
      <c r="Z98">
        <v>0</v>
      </c>
      <c r="AA98">
        <v>0.04</v>
      </c>
      <c r="AB98">
        <v>0</v>
      </c>
      <c r="AC98">
        <v>0</v>
      </c>
      <c r="AD98">
        <v>7.1</v>
      </c>
      <c r="AE98">
        <v>355.9</v>
      </c>
    </row>
    <row r="99" spans="1:31" x14ac:dyDescent="0.25">
      <c r="A99" t="str">
        <f t="shared" si="3"/>
        <v>F2</v>
      </c>
      <c r="B99">
        <v>2</v>
      </c>
      <c r="C99" s="75" t="s">
        <v>49</v>
      </c>
      <c r="D99" t="s">
        <v>418</v>
      </c>
      <c r="E99" s="78" t="s">
        <v>60</v>
      </c>
      <c r="F99" s="79">
        <v>1189</v>
      </c>
      <c r="G99" s="35">
        <v>6</v>
      </c>
      <c r="H99">
        <v>0.44</v>
      </c>
      <c r="I99">
        <v>4.7699999999999996</v>
      </c>
      <c r="J99">
        <v>6.5</v>
      </c>
      <c r="K99">
        <v>0.372</v>
      </c>
      <c r="L99">
        <v>1.36</v>
      </c>
      <c r="M99">
        <v>17.420000000000002</v>
      </c>
      <c r="N99">
        <v>275</v>
      </c>
      <c r="O99">
        <v>13</v>
      </c>
      <c r="P99">
        <v>77.900000000000006</v>
      </c>
      <c r="Q99">
        <v>223</v>
      </c>
      <c r="R99">
        <v>29.9</v>
      </c>
      <c r="S99">
        <v>66.099999999999994</v>
      </c>
      <c r="T99">
        <v>0.9</v>
      </c>
      <c r="U99">
        <v>2.5</v>
      </c>
      <c r="V99">
        <v>0.6</v>
      </c>
      <c r="W99">
        <v>0</v>
      </c>
      <c r="X99">
        <v>0.13</v>
      </c>
      <c r="Y99">
        <v>0.28999999999999998</v>
      </c>
      <c r="Z99">
        <v>0</v>
      </c>
      <c r="AA99">
        <v>0.01</v>
      </c>
      <c r="AB99">
        <v>0</v>
      </c>
      <c r="AC99">
        <v>0</v>
      </c>
      <c r="AD99">
        <v>4.7</v>
      </c>
      <c r="AE99">
        <v>226.2</v>
      </c>
    </row>
    <row r="100" spans="1:31" x14ac:dyDescent="0.25">
      <c r="A100" t="str">
        <f t="shared" si="3"/>
        <v>G2</v>
      </c>
      <c r="B100">
        <v>2</v>
      </c>
      <c r="C100" s="75" t="s">
        <v>51</v>
      </c>
      <c r="D100" t="s">
        <v>421</v>
      </c>
      <c r="E100" s="78" t="s">
        <v>49</v>
      </c>
      <c r="F100" s="79">
        <v>1387</v>
      </c>
      <c r="G100" s="35">
        <v>6</v>
      </c>
      <c r="H100">
        <v>2.57</v>
      </c>
      <c r="I100">
        <v>5.01</v>
      </c>
      <c r="J100">
        <v>6.9</v>
      </c>
      <c r="K100">
        <v>0.39900000000000002</v>
      </c>
      <c r="L100">
        <v>1.37</v>
      </c>
      <c r="M100">
        <v>17.260000000000002</v>
      </c>
      <c r="N100">
        <v>296</v>
      </c>
      <c r="O100">
        <v>11.7</v>
      </c>
      <c r="P100">
        <v>79.599999999999994</v>
      </c>
      <c r="Q100">
        <v>223</v>
      </c>
      <c r="R100">
        <v>40.299999999999997</v>
      </c>
      <c r="S100">
        <v>57.4</v>
      </c>
      <c r="T100">
        <v>1</v>
      </c>
      <c r="U100">
        <v>1.3</v>
      </c>
      <c r="V100">
        <v>0</v>
      </c>
      <c r="W100">
        <v>0.1</v>
      </c>
      <c r="X100">
        <v>1.04</v>
      </c>
      <c r="Y100">
        <v>1.47</v>
      </c>
      <c r="Z100">
        <v>0.03</v>
      </c>
      <c r="AA100">
        <v>0.03</v>
      </c>
      <c r="AB100">
        <v>0</v>
      </c>
      <c r="AC100">
        <v>0</v>
      </c>
      <c r="AD100">
        <v>5.7</v>
      </c>
      <c r="AE100">
        <v>286.3</v>
      </c>
    </row>
    <row r="101" spans="1:31" x14ac:dyDescent="0.25">
      <c r="A101" t="str">
        <f t="shared" si="3"/>
        <v>H2</v>
      </c>
      <c r="B101">
        <v>2</v>
      </c>
      <c r="C101" s="75" t="s">
        <v>53</v>
      </c>
      <c r="D101" t="s">
        <v>418</v>
      </c>
      <c r="E101" s="78" t="s">
        <v>60</v>
      </c>
      <c r="F101" s="79">
        <v>1243</v>
      </c>
      <c r="G101" s="35">
        <v>6</v>
      </c>
      <c r="H101">
        <v>0.48</v>
      </c>
      <c r="I101">
        <v>4.9400000000000004</v>
      </c>
      <c r="J101">
        <v>6.5</v>
      </c>
      <c r="K101">
        <v>0.34899999999999998</v>
      </c>
      <c r="L101">
        <v>1.31</v>
      </c>
      <c r="M101">
        <v>18.64</v>
      </c>
      <c r="N101">
        <v>231</v>
      </c>
      <c r="O101">
        <v>11.6</v>
      </c>
      <c r="P101">
        <v>70.5</v>
      </c>
      <c r="Q101">
        <v>212</v>
      </c>
      <c r="R101">
        <v>13.2</v>
      </c>
      <c r="S101">
        <v>79.900000000000006</v>
      </c>
      <c r="T101">
        <v>0.5</v>
      </c>
      <c r="U101">
        <v>6.1</v>
      </c>
      <c r="V101">
        <v>0.3</v>
      </c>
      <c r="W101">
        <v>0</v>
      </c>
      <c r="X101">
        <v>0.06</v>
      </c>
      <c r="Y101">
        <v>0.39</v>
      </c>
      <c r="Z101">
        <v>0</v>
      </c>
      <c r="AA101">
        <v>0.03</v>
      </c>
      <c r="AB101">
        <v>0</v>
      </c>
      <c r="AC101">
        <v>0</v>
      </c>
      <c r="AD101">
        <v>6.1</v>
      </c>
      <c r="AE101">
        <v>302.7</v>
      </c>
    </row>
    <row r="102" spans="1:31" x14ac:dyDescent="0.25">
      <c r="A102" t="str">
        <f t="shared" si="3"/>
        <v>I2</v>
      </c>
      <c r="B102">
        <v>2</v>
      </c>
      <c r="C102" s="75" t="s">
        <v>56</v>
      </c>
      <c r="D102" t="s">
        <v>421</v>
      </c>
      <c r="E102" s="78" t="s">
        <v>60</v>
      </c>
      <c r="F102" s="79">
        <v>1015.2</v>
      </c>
      <c r="G102" s="35">
        <v>6</v>
      </c>
      <c r="H102">
        <v>2.78</v>
      </c>
      <c r="I102">
        <v>4.78</v>
      </c>
      <c r="J102">
        <v>6.4</v>
      </c>
      <c r="K102">
        <v>0.36</v>
      </c>
      <c r="L102">
        <v>1.34</v>
      </c>
      <c r="M102">
        <v>17.8</v>
      </c>
      <c r="N102">
        <v>375</v>
      </c>
      <c r="O102">
        <v>11.1</v>
      </c>
      <c r="P102">
        <v>75.400000000000006</v>
      </c>
      <c r="Q102">
        <v>212</v>
      </c>
      <c r="R102">
        <v>32</v>
      </c>
      <c r="S102">
        <v>66.099999999999994</v>
      </c>
      <c r="T102">
        <v>0.9</v>
      </c>
      <c r="U102">
        <v>1</v>
      </c>
      <c r="V102">
        <v>0.1</v>
      </c>
      <c r="W102">
        <v>0</v>
      </c>
      <c r="X102">
        <v>0.89</v>
      </c>
      <c r="Y102">
        <v>1.84</v>
      </c>
      <c r="Z102">
        <v>0.02</v>
      </c>
      <c r="AA102">
        <v>0.03</v>
      </c>
      <c r="AB102">
        <v>0</v>
      </c>
      <c r="AC102">
        <v>0</v>
      </c>
      <c r="AD102">
        <v>6.3</v>
      </c>
      <c r="AE102">
        <v>302.5</v>
      </c>
    </row>
    <row r="103" spans="1:31" x14ac:dyDescent="0.25">
      <c r="A103" t="str">
        <f t="shared" si="3"/>
        <v>J2</v>
      </c>
      <c r="B103">
        <v>2</v>
      </c>
      <c r="C103" s="75" t="s">
        <v>80</v>
      </c>
      <c r="D103" t="s">
        <v>417</v>
      </c>
      <c r="E103" s="78" t="s">
        <v>49</v>
      </c>
      <c r="F103" s="79">
        <v>678</v>
      </c>
      <c r="G103" s="35">
        <v>6</v>
      </c>
      <c r="H103">
        <v>1.64</v>
      </c>
      <c r="I103">
        <v>4.54</v>
      </c>
      <c r="J103">
        <v>6.4</v>
      </c>
      <c r="K103">
        <v>0.34499999999999997</v>
      </c>
      <c r="L103">
        <v>1.41</v>
      </c>
      <c r="M103">
        <v>18.63</v>
      </c>
      <c r="N103">
        <v>301</v>
      </c>
      <c r="O103">
        <v>11.2</v>
      </c>
      <c r="P103">
        <v>75.900000000000006</v>
      </c>
      <c r="Q103">
        <v>211</v>
      </c>
      <c r="R103">
        <v>63.3</v>
      </c>
      <c r="S103">
        <v>34.299999999999997</v>
      </c>
      <c r="T103">
        <v>0.2</v>
      </c>
      <c r="U103">
        <v>2.1</v>
      </c>
      <c r="V103">
        <v>0.2</v>
      </c>
      <c r="W103">
        <v>0</v>
      </c>
      <c r="X103">
        <v>1.04</v>
      </c>
      <c r="Y103">
        <v>0.56000000000000005</v>
      </c>
      <c r="Z103">
        <v>0</v>
      </c>
      <c r="AA103">
        <v>0.03</v>
      </c>
      <c r="AB103">
        <v>0</v>
      </c>
      <c r="AC103">
        <v>0</v>
      </c>
      <c r="AD103">
        <v>6.9</v>
      </c>
      <c r="AE103">
        <v>312.2</v>
      </c>
    </row>
    <row r="104" spans="1:31" x14ac:dyDescent="0.25">
      <c r="A104" t="str">
        <f t="shared" si="3"/>
        <v>K2</v>
      </c>
      <c r="B104">
        <v>2</v>
      </c>
      <c r="C104" s="75" t="s">
        <v>82</v>
      </c>
      <c r="D104" t="s">
        <v>419</v>
      </c>
      <c r="E104" s="78" t="s">
        <v>60</v>
      </c>
      <c r="F104" s="79">
        <v>1405</v>
      </c>
      <c r="G104" s="35">
        <v>6</v>
      </c>
      <c r="H104">
        <v>1.4</v>
      </c>
      <c r="I104">
        <v>4.22</v>
      </c>
      <c r="J104">
        <v>6.1</v>
      </c>
      <c r="K104">
        <v>0.32700000000000001</v>
      </c>
      <c r="L104">
        <v>1.44</v>
      </c>
      <c r="M104">
        <v>18.579999999999998</v>
      </c>
      <c r="N104">
        <v>324</v>
      </c>
      <c r="O104">
        <v>10.6</v>
      </c>
      <c r="P104">
        <v>77.599999999999994</v>
      </c>
      <c r="Q104">
        <v>217</v>
      </c>
      <c r="R104">
        <v>44.5</v>
      </c>
      <c r="S104">
        <v>53.3</v>
      </c>
      <c r="T104">
        <v>0.2</v>
      </c>
      <c r="U104">
        <v>1.9</v>
      </c>
      <c r="V104">
        <v>0.2</v>
      </c>
      <c r="W104">
        <v>0</v>
      </c>
      <c r="X104">
        <v>0.62</v>
      </c>
      <c r="Y104">
        <v>0.75</v>
      </c>
      <c r="Z104">
        <v>0</v>
      </c>
      <c r="AA104">
        <v>0.03</v>
      </c>
      <c r="AB104">
        <v>0</v>
      </c>
      <c r="AC104">
        <v>0</v>
      </c>
      <c r="AD104">
        <v>7</v>
      </c>
      <c r="AE104">
        <v>294.3</v>
      </c>
    </row>
    <row r="105" spans="1:31" x14ac:dyDescent="0.25">
      <c r="A105" t="str">
        <f t="shared" si="3"/>
        <v>L2</v>
      </c>
      <c r="B105">
        <v>2</v>
      </c>
      <c r="C105" s="75" t="s">
        <v>58</v>
      </c>
      <c r="D105" t="s">
        <v>420</v>
      </c>
      <c r="E105" s="76" t="s">
        <v>60</v>
      </c>
      <c r="F105" s="77">
        <v>1202.8</v>
      </c>
      <c r="G105" s="35">
        <v>6</v>
      </c>
      <c r="H105">
        <v>2.87</v>
      </c>
      <c r="I105">
        <v>4.6900000000000004</v>
      </c>
      <c r="J105">
        <v>7.2</v>
      </c>
      <c r="K105">
        <v>0.38400000000000001</v>
      </c>
      <c r="L105">
        <v>1.54</v>
      </c>
      <c r="M105">
        <v>18.78</v>
      </c>
      <c r="N105">
        <v>390</v>
      </c>
      <c r="O105">
        <v>10.5</v>
      </c>
      <c r="P105">
        <v>81.900000000000006</v>
      </c>
      <c r="Q105">
        <v>223</v>
      </c>
      <c r="R105">
        <v>35.700000000000003</v>
      </c>
      <c r="S105">
        <v>62.8</v>
      </c>
      <c r="T105">
        <v>0.3</v>
      </c>
      <c r="U105">
        <v>0.7</v>
      </c>
      <c r="V105">
        <v>0.1</v>
      </c>
      <c r="W105">
        <v>0.3</v>
      </c>
      <c r="X105">
        <v>1.03</v>
      </c>
      <c r="Y105">
        <v>1.8</v>
      </c>
      <c r="Z105">
        <v>0.01</v>
      </c>
      <c r="AA105">
        <v>0.02</v>
      </c>
      <c r="AB105">
        <v>0</v>
      </c>
      <c r="AC105">
        <v>0.01</v>
      </c>
      <c r="AD105">
        <v>6.4</v>
      </c>
      <c r="AE105">
        <v>302.2</v>
      </c>
    </row>
    <row r="106" spans="1:31" x14ac:dyDescent="0.25">
      <c r="A106" t="str">
        <f t="shared" si="3"/>
        <v>M2</v>
      </c>
      <c r="B106">
        <v>2</v>
      </c>
      <c r="C106" s="75" t="s">
        <v>60</v>
      </c>
      <c r="D106" t="s">
        <v>417</v>
      </c>
      <c r="E106" s="78" t="s">
        <v>60</v>
      </c>
      <c r="F106" s="79">
        <v>1261</v>
      </c>
      <c r="G106" s="35">
        <v>6</v>
      </c>
      <c r="H106">
        <v>2.31</v>
      </c>
      <c r="I106">
        <v>4.46</v>
      </c>
      <c r="J106">
        <v>6.4</v>
      </c>
      <c r="K106">
        <v>0.33900000000000002</v>
      </c>
      <c r="L106">
        <v>1.43</v>
      </c>
      <c r="M106">
        <v>18.8</v>
      </c>
      <c r="N106">
        <v>288</v>
      </c>
      <c r="O106">
        <v>12.1</v>
      </c>
      <c r="P106">
        <v>76</v>
      </c>
      <c r="Q106">
        <v>226</v>
      </c>
      <c r="R106">
        <v>46.8</v>
      </c>
      <c r="S106">
        <v>51.4</v>
      </c>
      <c r="T106">
        <v>0.3</v>
      </c>
      <c r="U106">
        <v>1.4</v>
      </c>
      <c r="V106">
        <v>0.1</v>
      </c>
      <c r="W106">
        <v>0</v>
      </c>
      <c r="X106">
        <v>1.08</v>
      </c>
      <c r="Y106">
        <v>1.19</v>
      </c>
      <c r="Z106">
        <v>0.01</v>
      </c>
      <c r="AA106">
        <v>0.03</v>
      </c>
      <c r="AB106">
        <v>0</v>
      </c>
      <c r="AC106">
        <v>0</v>
      </c>
      <c r="AD106">
        <v>5.4</v>
      </c>
      <c r="AE106">
        <v>240.4</v>
      </c>
    </row>
    <row r="107" spans="1:31" x14ac:dyDescent="0.25">
      <c r="A107" t="str">
        <f t="shared" si="3"/>
        <v>N2</v>
      </c>
      <c r="B107">
        <v>2</v>
      </c>
      <c r="C107" s="75" t="s">
        <v>62</v>
      </c>
      <c r="D107" t="s">
        <v>418</v>
      </c>
      <c r="E107" s="78" t="s">
        <v>60</v>
      </c>
      <c r="F107" s="79">
        <v>791</v>
      </c>
      <c r="G107" s="35">
        <v>6</v>
      </c>
      <c r="H107">
        <v>0.24</v>
      </c>
      <c r="I107">
        <v>4.1100000000000003</v>
      </c>
      <c r="J107">
        <v>6.4</v>
      </c>
      <c r="K107">
        <v>0.34599999999999997</v>
      </c>
      <c r="L107">
        <v>1.55</v>
      </c>
      <c r="M107">
        <v>18.39</v>
      </c>
      <c r="N107">
        <v>210</v>
      </c>
      <c r="O107">
        <v>12</v>
      </c>
      <c r="P107">
        <v>84.3</v>
      </c>
      <c r="Q107">
        <v>215</v>
      </c>
      <c r="R107">
        <v>53.9</v>
      </c>
      <c r="S107">
        <v>16.600000000000001</v>
      </c>
      <c r="T107">
        <v>1.6</v>
      </c>
      <c r="U107">
        <v>27.4</v>
      </c>
      <c r="V107">
        <v>0.5</v>
      </c>
      <c r="W107">
        <v>0</v>
      </c>
      <c r="X107">
        <v>0.13</v>
      </c>
      <c r="Y107">
        <v>0.04</v>
      </c>
      <c r="Z107">
        <v>0</v>
      </c>
      <c r="AA107">
        <v>7.0000000000000007E-2</v>
      </c>
      <c r="AB107">
        <v>0</v>
      </c>
      <c r="AC107">
        <v>0</v>
      </c>
      <c r="AD107">
        <v>9.3000000000000007</v>
      </c>
      <c r="AE107">
        <v>383.5</v>
      </c>
    </row>
    <row r="108" spans="1:31" x14ac:dyDescent="0.25">
      <c r="A108" t="str">
        <f t="shared" si="3"/>
        <v>O2</v>
      </c>
      <c r="B108">
        <v>2</v>
      </c>
      <c r="C108" s="75" t="s">
        <v>64</v>
      </c>
      <c r="D108" t="s">
        <v>420</v>
      </c>
      <c r="E108" s="78" t="s">
        <v>60</v>
      </c>
      <c r="F108" s="79">
        <v>1031</v>
      </c>
      <c r="G108" s="35">
        <v>6</v>
      </c>
      <c r="H108">
        <v>3.11</v>
      </c>
      <c r="I108">
        <v>4.1900000000000004</v>
      </c>
      <c r="J108">
        <v>5.9</v>
      </c>
      <c r="K108">
        <v>0.308</v>
      </c>
      <c r="L108">
        <v>1.4</v>
      </c>
      <c r="M108">
        <v>19.100000000000001</v>
      </c>
      <c r="N108">
        <v>425</v>
      </c>
      <c r="O108">
        <v>10.9</v>
      </c>
      <c r="P108">
        <v>73.400000000000006</v>
      </c>
      <c r="Q108">
        <v>211</v>
      </c>
      <c r="R108">
        <v>36.1</v>
      </c>
      <c r="S108">
        <v>61.4</v>
      </c>
      <c r="T108">
        <v>0.1</v>
      </c>
      <c r="U108">
        <v>2.2999999999999998</v>
      </c>
      <c r="V108">
        <v>0</v>
      </c>
      <c r="W108">
        <v>0</v>
      </c>
      <c r="X108">
        <v>1.1200000000000001</v>
      </c>
      <c r="Y108">
        <v>1.91</v>
      </c>
      <c r="Z108">
        <v>0</v>
      </c>
      <c r="AA108">
        <v>7.0000000000000007E-2</v>
      </c>
      <c r="AB108">
        <v>0</v>
      </c>
      <c r="AC108">
        <v>0</v>
      </c>
      <c r="AD108">
        <v>7</v>
      </c>
      <c r="AE108">
        <v>293.7</v>
      </c>
    </row>
    <row r="109" spans="1:31" x14ac:dyDescent="0.25">
      <c r="A109" t="str">
        <f t="shared" si="3"/>
        <v>P2</v>
      </c>
      <c r="B109">
        <v>2</v>
      </c>
      <c r="C109" s="75" t="s">
        <v>66</v>
      </c>
      <c r="D109" t="s">
        <v>417</v>
      </c>
      <c r="E109" s="78" t="s">
        <v>49</v>
      </c>
      <c r="F109" s="79">
        <v>1098.7</v>
      </c>
      <c r="G109" s="35">
        <v>6</v>
      </c>
      <c r="H109">
        <v>2.34</v>
      </c>
      <c r="I109">
        <v>4.3499999999999996</v>
      </c>
      <c r="J109">
        <v>6.4</v>
      </c>
      <c r="K109">
        <v>0.33800000000000002</v>
      </c>
      <c r="L109">
        <v>1.46</v>
      </c>
      <c r="M109">
        <v>18.84</v>
      </c>
      <c r="N109">
        <v>362</v>
      </c>
      <c r="O109">
        <v>11</v>
      </c>
      <c r="P109">
        <v>77.599999999999994</v>
      </c>
      <c r="Q109">
        <v>211</v>
      </c>
      <c r="R109">
        <v>54.4</v>
      </c>
      <c r="S109">
        <v>43.1</v>
      </c>
      <c r="T109">
        <v>0.4</v>
      </c>
      <c r="U109">
        <v>2.1</v>
      </c>
      <c r="V109">
        <v>0.2</v>
      </c>
      <c r="W109">
        <v>0</v>
      </c>
      <c r="X109">
        <v>1.27</v>
      </c>
      <c r="Y109">
        <v>1.01</v>
      </c>
      <c r="Z109">
        <v>0.01</v>
      </c>
      <c r="AA109">
        <v>0.05</v>
      </c>
      <c r="AB109">
        <v>0</v>
      </c>
      <c r="AC109">
        <v>0</v>
      </c>
      <c r="AD109">
        <v>5.7</v>
      </c>
      <c r="AE109">
        <v>247.4</v>
      </c>
    </row>
    <row r="110" spans="1:31" x14ac:dyDescent="0.25">
      <c r="A110" t="str">
        <f t="shared" si="3"/>
        <v>Q2</v>
      </c>
      <c r="B110">
        <v>2</v>
      </c>
      <c r="C110" s="75" t="s">
        <v>385</v>
      </c>
      <c r="D110" t="s">
        <v>418</v>
      </c>
      <c r="E110" s="78" t="s">
        <v>49</v>
      </c>
      <c r="F110" s="79">
        <v>793.5</v>
      </c>
      <c r="G110" s="35">
        <v>6</v>
      </c>
      <c r="H110">
        <v>1.52</v>
      </c>
      <c r="I110">
        <v>4.5599999999999996</v>
      </c>
      <c r="J110">
        <v>5.8</v>
      </c>
      <c r="K110">
        <v>0.32300000000000001</v>
      </c>
      <c r="L110">
        <v>1.27</v>
      </c>
      <c r="M110">
        <v>17.91</v>
      </c>
      <c r="N110">
        <v>247</v>
      </c>
      <c r="O110">
        <v>11.7</v>
      </c>
      <c r="P110">
        <v>71</v>
      </c>
      <c r="Q110">
        <v>222</v>
      </c>
      <c r="R110">
        <v>61.4</v>
      </c>
      <c r="S110">
        <v>36.6</v>
      </c>
      <c r="T110">
        <v>0.1</v>
      </c>
      <c r="U110">
        <v>1.8</v>
      </c>
      <c r="V110">
        <v>0.1</v>
      </c>
      <c r="W110">
        <v>0.1</v>
      </c>
      <c r="X110">
        <v>0.93</v>
      </c>
      <c r="Y110">
        <v>0.56000000000000005</v>
      </c>
      <c r="Z110">
        <v>0</v>
      </c>
      <c r="AA110">
        <v>0.03</v>
      </c>
      <c r="AB110">
        <v>0</v>
      </c>
      <c r="AC110">
        <v>0</v>
      </c>
      <c r="AD110">
        <v>6.2</v>
      </c>
    </row>
    <row r="111" spans="1:31" x14ac:dyDescent="0.25">
      <c r="A111" t="str">
        <f t="shared" si="3"/>
        <v>R2</v>
      </c>
      <c r="B111">
        <v>2</v>
      </c>
      <c r="C111" s="75" t="s">
        <v>68</v>
      </c>
      <c r="D111" t="s">
        <v>418</v>
      </c>
      <c r="E111" s="78" t="s">
        <v>49</v>
      </c>
      <c r="F111" s="79">
        <v>1303</v>
      </c>
      <c r="G111" s="35">
        <v>6</v>
      </c>
      <c r="H111">
        <v>0.54</v>
      </c>
      <c r="I111">
        <v>4.54</v>
      </c>
      <c r="J111">
        <v>6.6</v>
      </c>
      <c r="K111">
        <v>0.35099999999999998</v>
      </c>
      <c r="L111">
        <v>1.46</v>
      </c>
      <c r="M111">
        <v>18.89</v>
      </c>
      <c r="N111">
        <v>282</v>
      </c>
      <c r="O111">
        <v>10.3</v>
      </c>
      <c r="P111">
        <v>77.3</v>
      </c>
      <c r="Q111">
        <v>218</v>
      </c>
      <c r="R111">
        <v>11.6</v>
      </c>
      <c r="S111">
        <v>71.400000000000006</v>
      </c>
      <c r="T111">
        <v>2.5</v>
      </c>
      <c r="U111">
        <v>14.3</v>
      </c>
      <c r="V111">
        <v>0.2</v>
      </c>
      <c r="W111">
        <v>0</v>
      </c>
      <c r="X111">
        <v>0.06</v>
      </c>
      <c r="Y111">
        <v>0.39</v>
      </c>
      <c r="Z111">
        <v>0.01</v>
      </c>
      <c r="AA111">
        <v>0.08</v>
      </c>
      <c r="AB111">
        <v>0</v>
      </c>
      <c r="AC111">
        <v>0</v>
      </c>
      <c r="AD111">
        <v>6.3</v>
      </c>
      <c r="AE111">
        <v>287.10000000000002</v>
      </c>
    </row>
    <row r="112" spans="1:31" x14ac:dyDescent="0.25">
      <c r="A112" t="str">
        <f t="shared" si="3"/>
        <v>S2</v>
      </c>
      <c r="B112">
        <v>2</v>
      </c>
      <c r="C112" s="75" t="s">
        <v>70</v>
      </c>
      <c r="D112" t="s">
        <v>417</v>
      </c>
      <c r="E112" s="78" t="s">
        <v>60</v>
      </c>
      <c r="F112" s="79">
        <v>1327</v>
      </c>
      <c r="G112" s="35">
        <v>6</v>
      </c>
      <c r="H112">
        <v>1.07</v>
      </c>
      <c r="I112">
        <v>4.01</v>
      </c>
      <c r="J112">
        <v>5.9</v>
      </c>
      <c r="K112">
        <v>0.32100000000000001</v>
      </c>
      <c r="L112">
        <v>1.47</v>
      </c>
      <c r="M112">
        <v>18.27</v>
      </c>
      <c r="N112">
        <v>262</v>
      </c>
      <c r="O112">
        <v>11</v>
      </c>
      <c r="P112">
        <v>80.2</v>
      </c>
      <c r="Q112">
        <v>214</v>
      </c>
      <c r="R112">
        <v>27.8</v>
      </c>
      <c r="S112">
        <v>66.2</v>
      </c>
      <c r="T112">
        <v>0.8</v>
      </c>
      <c r="U112">
        <v>5.0999999999999996</v>
      </c>
      <c r="V112">
        <v>0.2</v>
      </c>
      <c r="W112">
        <v>0</v>
      </c>
      <c r="X112">
        <v>0.3</v>
      </c>
      <c r="Y112">
        <v>0.71</v>
      </c>
      <c r="Z112">
        <v>0.01</v>
      </c>
      <c r="AA112">
        <v>0.05</v>
      </c>
      <c r="AB112">
        <v>0</v>
      </c>
      <c r="AC112">
        <v>0</v>
      </c>
      <c r="AD112">
        <v>6.8</v>
      </c>
      <c r="AE112">
        <v>272.3</v>
      </c>
    </row>
    <row r="113" spans="1:31" x14ac:dyDescent="0.25">
      <c r="A113" t="str">
        <f t="shared" si="3"/>
        <v>T2</v>
      </c>
      <c r="B113">
        <v>2</v>
      </c>
      <c r="C113" s="75" t="s">
        <v>386</v>
      </c>
      <c r="D113" t="s">
        <v>421</v>
      </c>
      <c r="E113" s="78" t="s">
        <v>60</v>
      </c>
      <c r="F113" s="79">
        <v>1193</v>
      </c>
      <c r="G113" s="35">
        <v>6</v>
      </c>
      <c r="H113">
        <v>1.53</v>
      </c>
      <c r="I113">
        <v>5.08</v>
      </c>
      <c r="J113">
        <v>6.4</v>
      </c>
      <c r="K113">
        <v>0.36199999999999999</v>
      </c>
      <c r="L113">
        <v>1.25</v>
      </c>
      <c r="M113">
        <v>17.55</v>
      </c>
      <c r="N113">
        <v>343</v>
      </c>
      <c r="O113">
        <v>12.2</v>
      </c>
      <c r="P113">
        <v>71.3</v>
      </c>
      <c r="Q113">
        <v>215</v>
      </c>
      <c r="R113">
        <v>40.5</v>
      </c>
      <c r="S113">
        <v>57.1</v>
      </c>
      <c r="T113">
        <v>1.5</v>
      </c>
      <c r="U113">
        <v>0.5</v>
      </c>
      <c r="V113">
        <v>0.2</v>
      </c>
      <c r="W113">
        <v>0.1</v>
      </c>
      <c r="X113">
        <v>0.62</v>
      </c>
      <c r="Y113">
        <v>0.87</v>
      </c>
      <c r="Z113">
        <v>0.02</v>
      </c>
      <c r="AA113">
        <v>0.01</v>
      </c>
      <c r="AB113">
        <v>0</v>
      </c>
      <c r="AC113">
        <v>0</v>
      </c>
      <c r="AD113">
        <v>6.2</v>
      </c>
      <c r="AE113">
        <v>317</v>
      </c>
    </row>
    <row r="114" spans="1:31" x14ac:dyDescent="0.25">
      <c r="A114" t="str">
        <f t="shared" si="3"/>
        <v>U2</v>
      </c>
      <c r="B114">
        <v>2</v>
      </c>
      <c r="C114" s="75" t="s">
        <v>388</v>
      </c>
      <c r="D114" t="s">
        <v>419</v>
      </c>
      <c r="E114" s="78" t="s">
        <v>60</v>
      </c>
      <c r="F114" s="79">
        <v>741.5</v>
      </c>
      <c r="G114" s="35">
        <v>6</v>
      </c>
      <c r="H114">
        <v>1.81</v>
      </c>
      <c r="I114">
        <v>3.72</v>
      </c>
      <c r="J114">
        <v>5.2</v>
      </c>
      <c r="K114">
        <v>0.28799999999999998</v>
      </c>
      <c r="L114">
        <v>1.4</v>
      </c>
      <c r="M114">
        <v>18.079999999999998</v>
      </c>
      <c r="N114">
        <v>285</v>
      </c>
      <c r="O114">
        <v>11.8</v>
      </c>
      <c r="P114">
        <v>77.5</v>
      </c>
      <c r="Q114">
        <v>218</v>
      </c>
      <c r="R114">
        <v>35</v>
      </c>
      <c r="S114">
        <v>61.7</v>
      </c>
      <c r="T114">
        <v>0.4</v>
      </c>
      <c r="U114">
        <v>2.7</v>
      </c>
      <c r="V114">
        <v>0.1</v>
      </c>
      <c r="W114">
        <v>0</v>
      </c>
      <c r="X114">
        <v>0.63</v>
      </c>
      <c r="Y114">
        <v>1.1200000000000001</v>
      </c>
      <c r="Z114">
        <v>0.01</v>
      </c>
      <c r="AA114">
        <v>0.05</v>
      </c>
      <c r="AB114">
        <v>0</v>
      </c>
      <c r="AC114">
        <v>0</v>
      </c>
      <c r="AD114">
        <v>7</v>
      </c>
      <c r="AE114">
        <v>258.7</v>
      </c>
    </row>
    <row r="115" spans="1:31" x14ac:dyDescent="0.25">
      <c r="A115" t="str">
        <f t="shared" si="3"/>
        <v>V2</v>
      </c>
      <c r="B115">
        <v>2</v>
      </c>
      <c r="C115" s="75" t="s">
        <v>389</v>
      </c>
      <c r="D115" t="s">
        <v>419</v>
      </c>
      <c r="E115" s="78" t="s">
        <v>60</v>
      </c>
      <c r="F115" s="79">
        <v>1281</v>
      </c>
      <c r="G115" s="35">
        <v>6</v>
      </c>
      <c r="H115">
        <v>2.12</v>
      </c>
      <c r="I115">
        <v>3.35</v>
      </c>
      <c r="J115">
        <v>4.5</v>
      </c>
      <c r="K115">
        <v>0.247</v>
      </c>
      <c r="L115">
        <v>1.35</v>
      </c>
      <c r="M115">
        <v>18.32</v>
      </c>
      <c r="N115">
        <v>258</v>
      </c>
      <c r="O115">
        <v>11.7</v>
      </c>
      <c r="P115">
        <v>73.8</v>
      </c>
      <c r="Q115">
        <v>205</v>
      </c>
      <c r="R115">
        <v>49.2</v>
      </c>
      <c r="S115">
        <v>49.5</v>
      </c>
      <c r="T115">
        <v>0.3</v>
      </c>
      <c r="U115">
        <v>0.9</v>
      </c>
      <c r="V115">
        <v>0.1</v>
      </c>
      <c r="W115">
        <v>0</v>
      </c>
      <c r="X115">
        <v>1.04</v>
      </c>
      <c r="Y115">
        <v>1.05</v>
      </c>
      <c r="Z115">
        <v>0.01</v>
      </c>
      <c r="AA115">
        <v>0.02</v>
      </c>
      <c r="AB115">
        <v>0</v>
      </c>
      <c r="AC115">
        <v>0</v>
      </c>
      <c r="AD115">
        <v>6</v>
      </c>
      <c r="AE115">
        <v>201.7</v>
      </c>
    </row>
    <row r="116" spans="1:31" x14ac:dyDescent="0.25">
      <c r="A116" t="str">
        <f t="shared" si="3"/>
        <v>X2</v>
      </c>
      <c r="B116">
        <v>2</v>
      </c>
      <c r="C116" s="75" t="s">
        <v>390</v>
      </c>
      <c r="D116" t="s">
        <v>419</v>
      </c>
      <c r="E116" s="78" t="s">
        <v>60</v>
      </c>
      <c r="F116" s="79">
        <v>1111</v>
      </c>
      <c r="G116" s="35">
        <v>6</v>
      </c>
      <c r="H116">
        <v>1.26</v>
      </c>
      <c r="I116">
        <v>3.85</v>
      </c>
      <c r="J116">
        <v>5.3</v>
      </c>
      <c r="K116">
        <v>0.27600000000000002</v>
      </c>
      <c r="L116">
        <v>1.39</v>
      </c>
      <c r="M116">
        <v>19.350000000000001</v>
      </c>
      <c r="N116">
        <v>281</v>
      </c>
      <c r="O116">
        <v>12.9</v>
      </c>
      <c r="P116">
        <v>71.7</v>
      </c>
      <c r="Q116">
        <v>213</v>
      </c>
      <c r="R116">
        <v>59.4</v>
      </c>
      <c r="S116">
        <v>34</v>
      </c>
      <c r="T116">
        <v>0.3</v>
      </c>
      <c r="U116">
        <v>6</v>
      </c>
      <c r="V116">
        <v>0.1</v>
      </c>
      <c r="W116">
        <v>0.2</v>
      </c>
      <c r="X116">
        <v>0.75</v>
      </c>
      <c r="Y116">
        <v>0.43</v>
      </c>
      <c r="Z116">
        <v>0</v>
      </c>
      <c r="AA116">
        <v>0.08</v>
      </c>
      <c r="AB116">
        <v>0</v>
      </c>
      <c r="AC116">
        <v>0</v>
      </c>
      <c r="AD116">
        <v>6.3</v>
      </c>
      <c r="AE116">
        <v>241.3</v>
      </c>
    </row>
    <row r="117" spans="1:31" x14ac:dyDescent="0.25">
      <c r="A117" t="str">
        <f t="shared" si="3"/>
        <v>Y2</v>
      </c>
      <c r="B117">
        <v>2</v>
      </c>
      <c r="C117" s="75" t="s">
        <v>384</v>
      </c>
      <c r="D117" t="s">
        <v>418</v>
      </c>
      <c r="E117" s="78" t="s">
        <v>60</v>
      </c>
      <c r="F117" s="79">
        <v>1340.4</v>
      </c>
      <c r="G117" s="35">
        <v>6</v>
      </c>
      <c r="H117">
        <v>0.86</v>
      </c>
      <c r="I117">
        <v>4.53</v>
      </c>
      <c r="J117">
        <v>6.1</v>
      </c>
      <c r="K117">
        <v>0.34200000000000003</v>
      </c>
      <c r="L117">
        <v>1.35</v>
      </c>
      <c r="M117">
        <v>17.82</v>
      </c>
      <c r="N117">
        <v>270</v>
      </c>
      <c r="O117">
        <v>11</v>
      </c>
      <c r="P117">
        <v>75.5</v>
      </c>
      <c r="Q117">
        <v>219</v>
      </c>
      <c r="R117">
        <v>33.9</v>
      </c>
      <c r="S117">
        <v>63.9</v>
      </c>
      <c r="T117">
        <v>0.3</v>
      </c>
      <c r="U117">
        <v>1.6</v>
      </c>
      <c r="V117">
        <v>0.2</v>
      </c>
      <c r="W117">
        <v>0.1</v>
      </c>
      <c r="X117">
        <v>0.28999999999999998</v>
      </c>
      <c r="Y117">
        <v>0.55000000000000004</v>
      </c>
      <c r="Z117">
        <v>0</v>
      </c>
      <c r="AA117">
        <v>0.01</v>
      </c>
      <c r="AB117">
        <v>0</v>
      </c>
      <c r="AC117">
        <v>0</v>
      </c>
      <c r="AD117">
        <v>6.3</v>
      </c>
      <c r="AE117">
        <v>285.39999999999998</v>
      </c>
    </row>
    <row r="118" spans="1:31" x14ac:dyDescent="0.25">
      <c r="A118" t="str">
        <f t="shared" si="3"/>
        <v>Z2</v>
      </c>
      <c r="B118">
        <v>2</v>
      </c>
      <c r="C118" s="75" t="s">
        <v>387</v>
      </c>
      <c r="D118" t="s">
        <v>417</v>
      </c>
      <c r="E118" s="78" t="s">
        <v>49</v>
      </c>
      <c r="F118" s="79">
        <v>1270</v>
      </c>
      <c r="G118" s="35">
        <v>6</v>
      </c>
      <c r="H118">
        <v>0.62</v>
      </c>
      <c r="I118">
        <v>4.07</v>
      </c>
      <c r="J118">
        <v>5.7</v>
      </c>
      <c r="K118">
        <v>0.32800000000000001</v>
      </c>
      <c r="L118">
        <v>1.4</v>
      </c>
      <c r="M118">
        <v>17.41</v>
      </c>
      <c r="N118">
        <v>267</v>
      </c>
      <c r="O118">
        <v>12.1</v>
      </c>
      <c r="P118">
        <v>80.5</v>
      </c>
      <c r="Q118">
        <v>208</v>
      </c>
      <c r="R118">
        <v>31.9</v>
      </c>
      <c r="S118">
        <v>61.3</v>
      </c>
      <c r="T118">
        <v>0.6</v>
      </c>
      <c r="U118">
        <v>5.8</v>
      </c>
      <c r="V118">
        <v>0.2</v>
      </c>
      <c r="W118">
        <v>0.2</v>
      </c>
      <c r="X118">
        <v>0.2</v>
      </c>
      <c r="Y118">
        <v>0.38</v>
      </c>
      <c r="Z118">
        <v>0</v>
      </c>
      <c r="AA118">
        <v>0.04</v>
      </c>
      <c r="AB118">
        <v>0</v>
      </c>
      <c r="AC118">
        <v>0</v>
      </c>
      <c r="AD118">
        <v>5.2</v>
      </c>
      <c r="AE118">
        <v>210.2</v>
      </c>
    </row>
    <row r="119" spans="1:31" x14ac:dyDescent="0.25">
      <c r="A119" t="str">
        <f t="shared" si="3"/>
        <v>Æ2</v>
      </c>
      <c r="B119">
        <v>2</v>
      </c>
      <c r="C119" s="75" t="s">
        <v>202</v>
      </c>
      <c r="D119" t="s">
        <v>417</v>
      </c>
      <c r="E119" s="78" t="s">
        <v>60</v>
      </c>
      <c r="F119" s="79">
        <v>1180.8</v>
      </c>
      <c r="G119" s="35">
        <v>6</v>
      </c>
      <c r="H119">
        <v>1.1100000000000001</v>
      </c>
      <c r="I119">
        <v>4.26</v>
      </c>
      <c r="J119">
        <v>6.3</v>
      </c>
      <c r="K119">
        <v>0.33300000000000002</v>
      </c>
      <c r="L119">
        <v>1.48</v>
      </c>
      <c r="M119">
        <v>18.989999999999998</v>
      </c>
      <c r="N119">
        <v>386</v>
      </c>
      <c r="O119">
        <v>9.5</v>
      </c>
      <c r="P119">
        <v>78.2</v>
      </c>
      <c r="Q119">
        <v>216</v>
      </c>
      <c r="R119">
        <v>20.5</v>
      </c>
      <c r="S119">
        <v>77.2</v>
      </c>
      <c r="T119">
        <v>0.4</v>
      </c>
      <c r="U119">
        <v>1.9</v>
      </c>
      <c r="V119">
        <v>0</v>
      </c>
      <c r="W119">
        <v>0</v>
      </c>
      <c r="X119">
        <v>0.23</v>
      </c>
      <c r="Y119">
        <v>0.86</v>
      </c>
      <c r="Z119">
        <v>0</v>
      </c>
      <c r="AA119">
        <v>0.02</v>
      </c>
      <c r="AB119">
        <v>0</v>
      </c>
      <c r="AC119">
        <v>0</v>
      </c>
      <c r="AD119">
        <v>7.1</v>
      </c>
      <c r="AE119">
        <v>302.8</v>
      </c>
    </row>
    <row r="120" spans="1:31" x14ac:dyDescent="0.25">
      <c r="A120" t="str">
        <f t="shared" si="3"/>
        <v>Ø2</v>
      </c>
      <c r="B120">
        <v>2</v>
      </c>
      <c r="C120" s="75" t="s">
        <v>175</v>
      </c>
      <c r="D120" t="s">
        <v>420</v>
      </c>
      <c r="E120" s="78" t="s">
        <v>49</v>
      </c>
      <c r="F120" s="79">
        <v>1275</v>
      </c>
      <c r="G120" s="35">
        <v>6</v>
      </c>
      <c r="H120">
        <v>4.6399999999999997</v>
      </c>
      <c r="I120">
        <v>4.6399999999999997</v>
      </c>
      <c r="J120">
        <v>6.9</v>
      </c>
      <c r="K120">
        <v>0.36499999999999999</v>
      </c>
      <c r="L120">
        <v>1.5</v>
      </c>
      <c r="M120">
        <v>19.05</v>
      </c>
      <c r="N120">
        <v>296</v>
      </c>
      <c r="O120">
        <v>12</v>
      </c>
      <c r="P120">
        <v>78.599999999999994</v>
      </c>
      <c r="Q120">
        <v>218</v>
      </c>
      <c r="R120">
        <v>30.3</v>
      </c>
      <c r="S120">
        <v>64.2</v>
      </c>
      <c r="T120">
        <v>1.2</v>
      </c>
      <c r="U120">
        <v>4.2</v>
      </c>
      <c r="V120">
        <v>0.1</v>
      </c>
      <c r="W120">
        <v>0</v>
      </c>
      <c r="X120">
        <v>1.41</v>
      </c>
      <c r="Y120">
        <v>2.98</v>
      </c>
      <c r="Z120">
        <v>0.05</v>
      </c>
      <c r="AA120">
        <v>0.19</v>
      </c>
      <c r="AB120">
        <v>0.01</v>
      </c>
      <c r="AC120">
        <v>0</v>
      </c>
      <c r="AD120">
        <v>6</v>
      </c>
      <c r="AE120">
        <v>278.8</v>
      </c>
    </row>
    <row r="121" spans="1:31" x14ac:dyDescent="0.25">
      <c r="A121" t="str">
        <f t="shared" si="3"/>
        <v>Å2</v>
      </c>
      <c r="B121">
        <v>2</v>
      </c>
      <c r="C121" s="75" t="s">
        <v>145</v>
      </c>
      <c r="D121" t="s">
        <v>419</v>
      </c>
      <c r="E121" s="78" t="s">
        <v>60</v>
      </c>
      <c r="F121" s="79">
        <v>902</v>
      </c>
      <c r="G121" s="35">
        <v>6</v>
      </c>
      <c r="H121">
        <v>4.04</v>
      </c>
      <c r="I121">
        <v>5.58</v>
      </c>
      <c r="J121">
        <v>7.5</v>
      </c>
      <c r="K121">
        <v>0.40300000000000002</v>
      </c>
      <c r="L121">
        <v>1.35</v>
      </c>
      <c r="M121">
        <v>18.66</v>
      </c>
      <c r="N121">
        <v>311</v>
      </c>
      <c r="O121">
        <v>11.9</v>
      </c>
      <c r="P121">
        <v>72.2</v>
      </c>
      <c r="Q121">
        <v>217</v>
      </c>
      <c r="R121">
        <v>62.2</v>
      </c>
      <c r="S121">
        <v>36.299999999999997</v>
      </c>
      <c r="T121">
        <v>0.2</v>
      </c>
      <c r="U121">
        <v>1.3</v>
      </c>
      <c r="V121">
        <v>0.1</v>
      </c>
      <c r="W121">
        <v>0</v>
      </c>
      <c r="X121">
        <v>2.5099999999999998</v>
      </c>
      <c r="Y121">
        <v>1.47</v>
      </c>
      <c r="Z121">
        <v>0.01</v>
      </c>
      <c r="AA121">
        <v>0.05</v>
      </c>
      <c r="AB121">
        <v>0</v>
      </c>
      <c r="AC121">
        <v>0</v>
      </c>
      <c r="AD121">
        <v>5.6</v>
      </c>
      <c r="AE121">
        <v>311.60000000000002</v>
      </c>
    </row>
    <row r="122" spans="1:31" x14ac:dyDescent="0.25">
      <c r="A122" s="35" t="s">
        <v>643</v>
      </c>
      <c r="B122">
        <v>3</v>
      </c>
      <c r="C122" s="75" t="s">
        <v>36</v>
      </c>
      <c r="D122" t="s">
        <v>418</v>
      </c>
      <c r="E122" s="124" t="s">
        <v>49</v>
      </c>
      <c r="F122" s="126">
        <v>725</v>
      </c>
      <c r="G122" s="35">
        <v>6</v>
      </c>
      <c r="H122">
        <v>0.39</v>
      </c>
      <c r="I122">
        <v>3.67</v>
      </c>
      <c r="J122">
        <v>5.6</v>
      </c>
      <c r="K122">
        <v>0.32500000000000001</v>
      </c>
      <c r="L122">
        <v>1.53</v>
      </c>
      <c r="M122">
        <v>17.190000000000001</v>
      </c>
      <c r="N122">
        <v>281</v>
      </c>
      <c r="O122">
        <v>12</v>
      </c>
      <c r="P122">
        <v>88.7</v>
      </c>
      <c r="Q122">
        <v>216</v>
      </c>
      <c r="R122">
        <v>24.5</v>
      </c>
      <c r="S122">
        <v>71.7</v>
      </c>
      <c r="T122">
        <v>0.3</v>
      </c>
      <c r="U122">
        <v>2.4</v>
      </c>
      <c r="V122">
        <v>0.7</v>
      </c>
      <c r="W122">
        <v>0.3</v>
      </c>
      <c r="X122">
        <v>0.1</v>
      </c>
      <c r="Y122">
        <v>0.28000000000000003</v>
      </c>
      <c r="Z122">
        <v>0</v>
      </c>
      <c r="AA122">
        <v>0.01</v>
      </c>
      <c r="AB122">
        <v>0</v>
      </c>
      <c r="AC122">
        <v>0</v>
      </c>
      <c r="AD122">
        <v>7.1</v>
      </c>
      <c r="AE122">
        <v>260.3</v>
      </c>
    </row>
    <row r="123" spans="1:31" x14ac:dyDescent="0.25">
      <c r="A123" s="35" t="s">
        <v>751</v>
      </c>
      <c r="B123">
        <v>3</v>
      </c>
      <c r="C123" s="75" t="s">
        <v>586</v>
      </c>
      <c r="D123" t="s">
        <v>417</v>
      </c>
      <c r="E123" s="124" t="s">
        <v>60</v>
      </c>
      <c r="F123" s="126">
        <v>847</v>
      </c>
      <c r="G123" s="35">
        <v>6</v>
      </c>
      <c r="H123">
        <v>0.8</v>
      </c>
      <c r="I123">
        <v>3.46</v>
      </c>
      <c r="J123">
        <v>5.8</v>
      </c>
      <c r="K123">
        <v>0.309</v>
      </c>
      <c r="L123">
        <v>1.68</v>
      </c>
      <c r="M123">
        <v>18.809999999999999</v>
      </c>
      <c r="N123">
        <v>263</v>
      </c>
      <c r="O123">
        <v>11</v>
      </c>
      <c r="P123">
        <v>89.4</v>
      </c>
      <c r="Q123">
        <v>215</v>
      </c>
      <c r="R123">
        <v>8.8000000000000007</v>
      </c>
      <c r="S123">
        <v>86.4</v>
      </c>
      <c r="T123">
        <v>0.2</v>
      </c>
      <c r="U123">
        <v>4</v>
      </c>
      <c r="V123">
        <v>0.6</v>
      </c>
      <c r="W123">
        <v>0</v>
      </c>
      <c r="X123">
        <v>7.0000000000000007E-2</v>
      </c>
      <c r="Y123">
        <v>0.7</v>
      </c>
      <c r="Z123">
        <v>0</v>
      </c>
      <c r="AA123">
        <v>0.03</v>
      </c>
      <c r="AB123">
        <v>0.01</v>
      </c>
      <c r="AC123">
        <v>0</v>
      </c>
      <c r="AD123">
        <v>6.4</v>
      </c>
      <c r="AE123">
        <v>221.7</v>
      </c>
    </row>
    <row r="124" spans="1:31" x14ac:dyDescent="0.25">
      <c r="A124" s="35" t="s">
        <v>659</v>
      </c>
      <c r="B124">
        <v>3</v>
      </c>
      <c r="C124" s="75" t="s">
        <v>39</v>
      </c>
      <c r="D124" t="s">
        <v>418</v>
      </c>
      <c r="E124" s="124" t="s">
        <v>49</v>
      </c>
      <c r="F124" s="126">
        <v>794</v>
      </c>
      <c r="G124" s="35">
        <v>6</v>
      </c>
      <c r="H124">
        <v>0.55000000000000004</v>
      </c>
      <c r="I124">
        <v>3.73</v>
      </c>
      <c r="J124">
        <v>6</v>
      </c>
      <c r="K124">
        <v>0.34699999999999998</v>
      </c>
      <c r="L124">
        <v>1.6</v>
      </c>
      <c r="M124">
        <v>17.21</v>
      </c>
      <c r="N124">
        <v>296</v>
      </c>
      <c r="O124">
        <v>12.6</v>
      </c>
      <c r="P124">
        <v>92.8</v>
      </c>
      <c r="Q124">
        <v>215</v>
      </c>
      <c r="R124">
        <v>9.5</v>
      </c>
      <c r="S124">
        <v>86.4</v>
      </c>
      <c r="T124">
        <v>0.5</v>
      </c>
      <c r="U124">
        <v>2.5</v>
      </c>
      <c r="V124">
        <v>1.2</v>
      </c>
      <c r="W124">
        <v>0</v>
      </c>
      <c r="X124">
        <v>0.05</v>
      </c>
      <c r="Y124">
        <v>0.47</v>
      </c>
      <c r="Z124">
        <v>0</v>
      </c>
      <c r="AA124">
        <v>0.01</v>
      </c>
      <c r="AB124">
        <v>0.01</v>
      </c>
      <c r="AC124">
        <v>0</v>
      </c>
      <c r="AD124">
        <v>5.6</v>
      </c>
      <c r="AE124">
        <v>207.8</v>
      </c>
    </row>
    <row r="125" spans="1:31" x14ac:dyDescent="0.25">
      <c r="A125" s="35" t="s">
        <v>731</v>
      </c>
      <c r="B125">
        <v>3</v>
      </c>
      <c r="C125" s="75" t="s">
        <v>584</v>
      </c>
      <c r="D125" t="s">
        <v>417</v>
      </c>
      <c r="E125" s="124" t="s">
        <v>60</v>
      </c>
      <c r="F125" s="126">
        <v>777</v>
      </c>
      <c r="G125" s="35">
        <v>6</v>
      </c>
      <c r="H125">
        <v>2.0099999999999998</v>
      </c>
      <c r="I125">
        <v>3.6</v>
      </c>
      <c r="J125">
        <v>5.2</v>
      </c>
      <c r="K125">
        <v>0.27800000000000002</v>
      </c>
      <c r="L125">
        <v>1.43</v>
      </c>
      <c r="M125">
        <v>18.55</v>
      </c>
      <c r="N125">
        <v>363</v>
      </c>
      <c r="O125">
        <v>10.7</v>
      </c>
      <c r="P125">
        <v>77.099999999999994</v>
      </c>
      <c r="Q125">
        <v>221</v>
      </c>
      <c r="R125">
        <v>55.2</v>
      </c>
      <c r="S125">
        <v>40.6</v>
      </c>
      <c r="T125">
        <v>0.4</v>
      </c>
      <c r="U125">
        <v>3.6</v>
      </c>
      <c r="V125">
        <v>0.2</v>
      </c>
      <c r="W125">
        <v>0</v>
      </c>
      <c r="X125">
        <v>1.1100000000000001</v>
      </c>
      <c r="Y125">
        <v>0.81</v>
      </c>
      <c r="Z125">
        <v>0.01</v>
      </c>
      <c r="AA125">
        <v>7.0000000000000007E-2</v>
      </c>
      <c r="AB125">
        <v>0</v>
      </c>
      <c r="AC125">
        <v>0</v>
      </c>
      <c r="AD125">
        <v>7.2</v>
      </c>
      <c r="AE125">
        <v>260.89999999999998</v>
      </c>
    </row>
    <row r="126" spans="1:31" x14ac:dyDescent="0.25">
      <c r="A126" s="35" t="s">
        <v>639</v>
      </c>
      <c r="B126">
        <v>3</v>
      </c>
      <c r="C126" s="75" t="s">
        <v>45</v>
      </c>
      <c r="D126" t="s">
        <v>418</v>
      </c>
      <c r="E126" s="124" t="s">
        <v>60</v>
      </c>
      <c r="F126" s="126">
        <v>949.7</v>
      </c>
      <c r="G126" s="35">
        <v>6</v>
      </c>
      <c r="H126">
        <v>0.44</v>
      </c>
      <c r="I126">
        <v>3.79</v>
      </c>
      <c r="J126">
        <v>5.4</v>
      </c>
      <c r="K126">
        <v>0.31900000000000001</v>
      </c>
      <c r="L126">
        <v>1.43</v>
      </c>
      <c r="M126">
        <v>16.95</v>
      </c>
      <c r="N126">
        <v>282</v>
      </c>
      <c r="O126">
        <v>11.9</v>
      </c>
      <c r="P126">
        <v>84.3</v>
      </c>
      <c r="Q126">
        <v>219</v>
      </c>
      <c r="R126">
        <v>20.5</v>
      </c>
      <c r="S126">
        <v>69.900000000000006</v>
      </c>
      <c r="T126">
        <v>2.8</v>
      </c>
      <c r="U126">
        <v>6.3</v>
      </c>
      <c r="V126">
        <v>0.3</v>
      </c>
      <c r="W126">
        <v>0.3</v>
      </c>
      <c r="X126">
        <v>0.09</v>
      </c>
      <c r="Y126">
        <v>0.31</v>
      </c>
      <c r="Z126">
        <v>0.01</v>
      </c>
      <c r="AA126">
        <v>0.03</v>
      </c>
      <c r="AB126">
        <v>0</v>
      </c>
      <c r="AC126">
        <v>0</v>
      </c>
      <c r="AD126">
        <v>4.9000000000000004</v>
      </c>
      <c r="AE126">
        <v>185.1</v>
      </c>
    </row>
    <row r="127" spans="1:31" x14ac:dyDescent="0.25">
      <c r="A127" s="35" t="s">
        <v>707</v>
      </c>
      <c r="B127">
        <v>3</v>
      </c>
      <c r="C127" s="75" t="s">
        <v>51</v>
      </c>
      <c r="D127" t="s">
        <v>420</v>
      </c>
      <c r="E127" s="124" t="s">
        <v>49</v>
      </c>
      <c r="F127" s="126">
        <v>993</v>
      </c>
      <c r="G127" s="35">
        <v>6</v>
      </c>
      <c r="H127">
        <v>3.2</v>
      </c>
      <c r="I127">
        <v>3.86</v>
      </c>
      <c r="J127">
        <v>5.7</v>
      </c>
      <c r="K127">
        <v>0.29799999999999999</v>
      </c>
      <c r="L127">
        <v>1.48</v>
      </c>
      <c r="M127">
        <v>19.14</v>
      </c>
      <c r="N127">
        <v>398</v>
      </c>
      <c r="O127">
        <v>10.4</v>
      </c>
      <c r="P127">
        <v>77.400000000000006</v>
      </c>
      <c r="Q127">
        <v>217</v>
      </c>
      <c r="R127">
        <v>45.3</v>
      </c>
      <c r="S127">
        <v>51.4</v>
      </c>
      <c r="T127">
        <v>0.8</v>
      </c>
      <c r="U127">
        <v>2.4</v>
      </c>
      <c r="V127">
        <v>0</v>
      </c>
      <c r="W127">
        <v>0</v>
      </c>
      <c r="X127">
        <v>1.45</v>
      </c>
      <c r="Y127">
        <v>1.65</v>
      </c>
      <c r="Z127">
        <v>0.03</v>
      </c>
      <c r="AA127">
        <v>0.08</v>
      </c>
      <c r="AB127">
        <v>0</v>
      </c>
      <c r="AC127">
        <v>0</v>
      </c>
      <c r="AD127">
        <v>6.9</v>
      </c>
      <c r="AE127">
        <v>266.10000000000002</v>
      </c>
    </row>
    <row r="128" spans="1:31" x14ac:dyDescent="0.25">
      <c r="A128" s="35" t="s">
        <v>670</v>
      </c>
      <c r="B128">
        <v>3</v>
      </c>
      <c r="C128" s="75" t="s">
        <v>585</v>
      </c>
      <c r="D128" t="s">
        <v>418</v>
      </c>
      <c r="E128" s="124" t="s">
        <v>60</v>
      </c>
      <c r="F128" s="126">
        <v>1159</v>
      </c>
      <c r="G128" s="35">
        <v>6</v>
      </c>
      <c r="H128">
        <v>0.38</v>
      </c>
      <c r="I128">
        <v>3.67</v>
      </c>
      <c r="J128">
        <v>5.8</v>
      </c>
      <c r="K128">
        <v>0.315</v>
      </c>
      <c r="L128">
        <v>1.58</v>
      </c>
      <c r="M128">
        <v>18.46</v>
      </c>
      <c r="N128">
        <v>345</v>
      </c>
      <c r="O128">
        <v>10.6</v>
      </c>
      <c r="P128">
        <v>85.8</v>
      </c>
      <c r="Q128">
        <v>205</v>
      </c>
      <c r="R128">
        <v>10.5</v>
      </c>
      <c r="S128">
        <v>82.3</v>
      </c>
      <c r="T128">
        <v>0</v>
      </c>
      <c r="U128">
        <v>7.3</v>
      </c>
      <c r="V128">
        <v>0</v>
      </c>
      <c r="W128">
        <v>0</v>
      </c>
      <c r="X128">
        <v>0.04</v>
      </c>
      <c r="Y128">
        <v>0.32</v>
      </c>
      <c r="Z128">
        <v>0</v>
      </c>
      <c r="AA128">
        <v>0.03</v>
      </c>
      <c r="AB128">
        <v>0</v>
      </c>
      <c r="AC128">
        <v>0</v>
      </c>
      <c r="AD128">
        <v>8</v>
      </c>
      <c r="AE128">
        <v>291.8</v>
      </c>
    </row>
    <row r="129" spans="1:31" x14ac:dyDescent="0.25">
      <c r="A129" s="35" t="s">
        <v>666</v>
      </c>
      <c r="B129">
        <v>3</v>
      </c>
      <c r="C129" s="75" t="s">
        <v>53</v>
      </c>
      <c r="D129" t="s">
        <v>418</v>
      </c>
      <c r="E129" s="124" t="s">
        <v>49</v>
      </c>
      <c r="F129" s="126">
        <v>1104</v>
      </c>
      <c r="G129" s="35">
        <v>6</v>
      </c>
      <c r="H129">
        <v>0.37</v>
      </c>
      <c r="I129">
        <v>3.47</v>
      </c>
      <c r="J129">
        <v>5.2</v>
      </c>
      <c r="K129">
        <v>0.29899999999999999</v>
      </c>
      <c r="L129">
        <v>1.49</v>
      </c>
      <c r="M129">
        <v>17.25</v>
      </c>
      <c r="N129">
        <v>267</v>
      </c>
      <c r="O129">
        <v>11.7</v>
      </c>
      <c r="P129">
        <v>86.4</v>
      </c>
      <c r="Q129">
        <v>221</v>
      </c>
      <c r="R129">
        <v>13.5</v>
      </c>
      <c r="S129">
        <v>82.6</v>
      </c>
      <c r="T129">
        <v>0.8</v>
      </c>
      <c r="U129">
        <v>2.4</v>
      </c>
      <c r="V129">
        <v>0.7</v>
      </c>
      <c r="W129">
        <v>0</v>
      </c>
      <c r="X129">
        <v>0.05</v>
      </c>
      <c r="Y129">
        <v>0.3</v>
      </c>
      <c r="Z129">
        <v>0</v>
      </c>
      <c r="AA129">
        <v>0.01</v>
      </c>
      <c r="AB129">
        <v>0</v>
      </c>
      <c r="AC129">
        <v>0</v>
      </c>
      <c r="AD129">
        <v>6.3</v>
      </c>
      <c r="AE129">
        <v>219.3</v>
      </c>
    </row>
    <row r="130" spans="1:31" x14ac:dyDescent="0.25">
      <c r="A130" s="35" t="s">
        <v>767</v>
      </c>
      <c r="B130">
        <v>3</v>
      </c>
      <c r="C130" s="75" t="s">
        <v>56</v>
      </c>
      <c r="D130" t="s">
        <v>417</v>
      </c>
      <c r="E130" s="124" t="s">
        <v>49</v>
      </c>
      <c r="F130" s="126">
        <v>996</v>
      </c>
      <c r="G130" s="35">
        <v>6</v>
      </c>
      <c r="H130">
        <v>1.64</v>
      </c>
      <c r="I130">
        <v>3.82</v>
      </c>
      <c r="J130">
        <v>5.5</v>
      </c>
      <c r="K130">
        <v>0.29499999999999998</v>
      </c>
      <c r="L130">
        <v>1.43</v>
      </c>
      <c r="M130">
        <v>18.48</v>
      </c>
      <c r="N130">
        <v>354</v>
      </c>
      <c r="O130">
        <v>10.5</v>
      </c>
      <c r="P130">
        <v>77.3</v>
      </c>
      <c r="Q130">
        <v>216</v>
      </c>
      <c r="R130">
        <v>42.8</v>
      </c>
      <c r="S130">
        <v>53.4</v>
      </c>
      <c r="T130">
        <v>0.1</v>
      </c>
      <c r="U130">
        <v>3.4</v>
      </c>
      <c r="V130">
        <v>0.3</v>
      </c>
      <c r="W130">
        <v>0</v>
      </c>
      <c r="X130">
        <v>0.7</v>
      </c>
      <c r="Y130">
        <v>0.88</v>
      </c>
      <c r="Z130">
        <v>0</v>
      </c>
      <c r="AA130">
        <v>0.06</v>
      </c>
      <c r="AB130">
        <v>0.01</v>
      </c>
      <c r="AC130">
        <v>0</v>
      </c>
      <c r="AD130">
        <v>6.8</v>
      </c>
      <c r="AE130">
        <v>259</v>
      </c>
    </row>
    <row r="131" spans="1:31" x14ac:dyDescent="0.25">
      <c r="A131" s="35" t="s">
        <v>646</v>
      </c>
      <c r="B131">
        <v>3</v>
      </c>
      <c r="C131" s="75" t="s">
        <v>80</v>
      </c>
      <c r="D131" t="s">
        <v>418</v>
      </c>
      <c r="E131" s="124" t="s">
        <v>60</v>
      </c>
      <c r="F131" s="126">
        <v>885</v>
      </c>
      <c r="G131" s="35">
        <v>6</v>
      </c>
      <c r="H131">
        <v>0.48</v>
      </c>
      <c r="I131">
        <v>3.84</v>
      </c>
      <c r="J131">
        <v>5.4</v>
      </c>
      <c r="K131">
        <v>0.314</v>
      </c>
      <c r="L131">
        <v>1.41</v>
      </c>
      <c r="M131">
        <v>17.29</v>
      </c>
      <c r="N131">
        <v>287</v>
      </c>
      <c r="O131">
        <v>11</v>
      </c>
      <c r="P131">
        <v>81.8</v>
      </c>
      <c r="Q131">
        <v>219</v>
      </c>
      <c r="R131">
        <v>23.9</v>
      </c>
      <c r="S131">
        <v>56.3</v>
      </c>
      <c r="T131">
        <v>0.2</v>
      </c>
      <c r="U131">
        <v>19.3</v>
      </c>
      <c r="V131">
        <v>0.3</v>
      </c>
      <c r="W131">
        <v>0</v>
      </c>
      <c r="X131">
        <v>0.12</v>
      </c>
      <c r="Y131">
        <v>0.27</v>
      </c>
      <c r="Z131">
        <v>0</v>
      </c>
      <c r="AA131">
        <v>0.09</v>
      </c>
      <c r="AB131">
        <v>0</v>
      </c>
      <c r="AC131">
        <v>0</v>
      </c>
      <c r="AD131">
        <v>7.5</v>
      </c>
      <c r="AE131">
        <v>288.39999999999998</v>
      </c>
    </row>
    <row r="132" spans="1:31" x14ac:dyDescent="0.25">
      <c r="A132" s="35" t="s">
        <v>596</v>
      </c>
      <c r="B132">
        <v>3</v>
      </c>
      <c r="C132" s="75" t="s">
        <v>82</v>
      </c>
      <c r="D132" t="s">
        <v>421</v>
      </c>
      <c r="E132" s="124" t="s">
        <v>49</v>
      </c>
      <c r="F132" s="126">
        <v>984</v>
      </c>
      <c r="G132" s="35">
        <v>6</v>
      </c>
      <c r="H132">
        <v>2.67</v>
      </c>
      <c r="I132">
        <v>3.8</v>
      </c>
      <c r="J132">
        <v>5.3</v>
      </c>
      <c r="K132">
        <v>0.317</v>
      </c>
      <c r="L132">
        <v>1.41</v>
      </c>
      <c r="M132">
        <v>16.82</v>
      </c>
      <c r="N132">
        <v>335</v>
      </c>
      <c r="O132">
        <v>12.9</v>
      </c>
      <c r="P132">
        <v>83.5</v>
      </c>
      <c r="Q132">
        <v>229</v>
      </c>
      <c r="R132">
        <v>53.2</v>
      </c>
      <c r="S132">
        <v>44.5</v>
      </c>
      <c r="T132">
        <v>1.2</v>
      </c>
      <c r="U132">
        <v>1.1000000000000001</v>
      </c>
      <c r="V132">
        <v>0</v>
      </c>
      <c r="W132">
        <v>0</v>
      </c>
      <c r="X132">
        <v>1.42</v>
      </c>
      <c r="Y132">
        <v>1.19</v>
      </c>
      <c r="Z132">
        <v>0.03</v>
      </c>
      <c r="AA132">
        <v>0.03</v>
      </c>
      <c r="AB132">
        <v>0</v>
      </c>
      <c r="AC132">
        <v>0</v>
      </c>
      <c r="AD132">
        <v>4.9000000000000004</v>
      </c>
      <c r="AE132">
        <v>185.4</v>
      </c>
    </row>
    <row r="133" spans="1:31" x14ac:dyDescent="0.25">
      <c r="A133" s="35" t="s">
        <v>755</v>
      </c>
      <c r="B133">
        <v>3</v>
      </c>
      <c r="C133" s="75" t="s">
        <v>58</v>
      </c>
      <c r="D133" t="s">
        <v>417</v>
      </c>
      <c r="E133" s="125" t="s">
        <v>60</v>
      </c>
      <c r="F133" s="127">
        <v>1175</v>
      </c>
      <c r="G133" s="35">
        <v>6</v>
      </c>
      <c r="H133">
        <v>0.57999999999999996</v>
      </c>
      <c r="I133">
        <v>2.69</v>
      </c>
      <c r="J133">
        <v>4.7</v>
      </c>
      <c r="K133">
        <v>0.24</v>
      </c>
      <c r="L133">
        <v>1.75</v>
      </c>
      <c r="M133">
        <v>19.670000000000002</v>
      </c>
      <c r="N133">
        <v>286</v>
      </c>
      <c r="O133">
        <v>10.9</v>
      </c>
      <c r="P133">
        <v>89.2</v>
      </c>
      <c r="Q133">
        <v>214</v>
      </c>
      <c r="R133">
        <v>11.1</v>
      </c>
      <c r="S133">
        <v>84.1</v>
      </c>
      <c r="T133">
        <v>0.9</v>
      </c>
      <c r="U133">
        <v>3.2</v>
      </c>
      <c r="V133">
        <v>0.7</v>
      </c>
      <c r="W133">
        <v>0</v>
      </c>
      <c r="X133">
        <v>0.06</v>
      </c>
      <c r="Y133">
        <v>0.49</v>
      </c>
      <c r="Z133">
        <v>0.01</v>
      </c>
      <c r="AA133">
        <v>0.02</v>
      </c>
      <c r="AB133">
        <v>0</v>
      </c>
      <c r="AC133">
        <v>0</v>
      </c>
      <c r="AD133">
        <v>9.5</v>
      </c>
      <c r="AE133">
        <v>255.7</v>
      </c>
    </row>
    <row r="134" spans="1:31" x14ac:dyDescent="0.25">
      <c r="A134" s="35" t="s">
        <v>796</v>
      </c>
      <c r="B134">
        <v>3</v>
      </c>
      <c r="C134" s="75" t="s">
        <v>62</v>
      </c>
      <c r="D134" t="s">
        <v>419</v>
      </c>
      <c r="E134" s="124" t="s">
        <v>60</v>
      </c>
      <c r="F134" s="126">
        <v>1219</v>
      </c>
      <c r="G134" s="35">
        <v>6</v>
      </c>
      <c r="H134">
        <v>0.89</v>
      </c>
      <c r="I134">
        <v>3.41</v>
      </c>
      <c r="J134">
        <v>4.9000000000000004</v>
      </c>
      <c r="K134">
        <v>0.27800000000000002</v>
      </c>
      <c r="L134">
        <v>1.44</v>
      </c>
      <c r="M134">
        <v>17.690000000000001</v>
      </c>
      <c r="N134">
        <v>314</v>
      </c>
      <c r="O134">
        <v>11</v>
      </c>
      <c r="P134">
        <v>81.5</v>
      </c>
      <c r="Q134">
        <v>220</v>
      </c>
      <c r="R134">
        <v>42.6</v>
      </c>
      <c r="S134">
        <v>56</v>
      </c>
      <c r="T134">
        <v>0.2</v>
      </c>
      <c r="U134">
        <v>1.1000000000000001</v>
      </c>
      <c r="V134">
        <v>0.1</v>
      </c>
      <c r="W134">
        <v>0</v>
      </c>
      <c r="X134">
        <v>0.38</v>
      </c>
      <c r="Y134">
        <v>0.5</v>
      </c>
      <c r="Z134">
        <v>0</v>
      </c>
      <c r="AA134">
        <v>0.01</v>
      </c>
      <c r="AB134">
        <v>0</v>
      </c>
      <c r="AC134">
        <v>0</v>
      </c>
      <c r="AD134">
        <v>7.8</v>
      </c>
      <c r="AE134">
        <v>265.5</v>
      </c>
    </row>
    <row r="135" spans="1:31" x14ac:dyDescent="0.25">
      <c r="A135" s="35" t="s">
        <v>801</v>
      </c>
      <c r="B135">
        <v>3</v>
      </c>
      <c r="C135" s="75" t="s">
        <v>64</v>
      </c>
      <c r="D135" t="s">
        <v>419</v>
      </c>
      <c r="E135" s="124" t="s">
        <v>49</v>
      </c>
      <c r="F135" s="126">
        <v>849</v>
      </c>
      <c r="G135" s="35">
        <v>6</v>
      </c>
      <c r="H135">
        <v>2.0699999999999998</v>
      </c>
      <c r="I135">
        <v>3.66</v>
      </c>
      <c r="J135">
        <v>5.4</v>
      </c>
      <c r="K135">
        <v>0.30199999999999999</v>
      </c>
      <c r="L135">
        <v>1.47</v>
      </c>
      <c r="M135">
        <v>17.850000000000001</v>
      </c>
      <c r="N135">
        <v>441</v>
      </c>
      <c r="O135">
        <v>11.4</v>
      </c>
      <c r="P135">
        <v>82.5</v>
      </c>
      <c r="Q135">
        <v>227</v>
      </c>
      <c r="R135">
        <v>58.8</v>
      </c>
      <c r="S135">
        <v>39.9</v>
      </c>
      <c r="T135">
        <v>0.5</v>
      </c>
      <c r="U135">
        <v>0.8</v>
      </c>
      <c r="V135">
        <v>0</v>
      </c>
      <c r="W135">
        <v>0</v>
      </c>
      <c r="X135">
        <v>1.22</v>
      </c>
      <c r="Y135">
        <v>0.82</v>
      </c>
      <c r="Z135">
        <v>0.01</v>
      </c>
      <c r="AA135">
        <v>0.02</v>
      </c>
      <c r="AB135">
        <v>0</v>
      </c>
      <c r="AC135">
        <v>0</v>
      </c>
      <c r="AD135">
        <v>7.8</v>
      </c>
      <c r="AE135">
        <v>286.3</v>
      </c>
    </row>
    <row r="136" spans="1:31" x14ac:dyDescent="0.25">
      <c r="A136" s="35" t="s">
        <v>699</v>
      </c>
      <c r="B136">
        <v>3</v>
      </c>
      <c r="C136" s="75" t="s">
        <v>66</v>
      </c>
      <c r="D136" t="s">
        <v>420</v>
      </c>
      <c r="E136" s="124" t="s">
        <v>60</v>
      </c>
      <c r="F136" s="126">
        <v>1279</v>
      </c>
      <c r="G136" s="35">
        <v>6</v>
      </c>
      <c r="H136">
        <v>2.98</v>
      </c>
      <c r="I136">
        <v>3.07</v>
      </c>
      <c r="J136">
        <v>4.4000000000000004</v>
      </c>
      <c r="K136">
        <v>0.23599999999999999</v>
      </c>
      <c r="L136">
        <v>1.44</v>
      </c>
      <c r="M136">
        <v>18.73</v>
      </c>
      <c r="N136">
        <v>387</v>
      </c>
      <c r="O136">
        <v>10.3</v>
      </c>
      <c r="P136">
        <v>77.099999999999994</v>
      </c>
      <c r="Q136">
        <v>213</v>
      </c>
      <c r="R136">
        <v>34.5</v>
      </c>
      <c r="S136">
        <v>63.5</v>
      </c>
      <c r="T136">
        <v>0.4</v>
      </c>
      <c r="U136">
        <v>1.5</v>
      </c>
      <c r="V136">
        <v>0.1</v>
      </c>
      <c r="W136">
        <v>0.1</v>
      </c>
      <c r="X136">
        <v>1.03</v>
      </c>
      <c r="Y136">
        <v>1.89</v>
      </c>
      <c r="Z136">
        <v>0.01</v>
      </c>
      <c r="AA136">
        <v>0.04</v>
      </c>
      <c r="AB136">
        <v>0</v>
      </c>
      <c r="AC136">
        <v>0</v>
      </c>
      <c r="AD136">
        <v>7.3</v>
      </c>
      <c r="AE136">
        <v>223</v>
      </c>
    </row>
    <row r="137" spans="1:31" x14ac:dyDescent="0.25">
      <c r="A137" s="35" t="s">
        <v>613</v>
      </c>
      <c r="B137">
        <v>3</v>
      </c>
      <c r="C137" s="75" t="s">
        <v>385</v>
      </c>
      <c r="D137" t="s">
        <v>421</v>
      </c>
      <c r="E137" s="124" t="s">
        <v>60</v>
      </c>
      <c r="F137" s="126">
        <v>676</v>
      </c>
      <c r="G137" s="35">
        <v>6</v>
      </c>
      <c r="H137">
        <v>2.16</v>
      </c>
      <c r="I137">
        <v>2.42</v>
      </c>
      <c r="J137">
        <v>4.0999999999999996</v>
      </c>
      <c r="K137">
        <v>0.218</v>
      </c>
      <c r="L137">
        <v>1.67</v>
      </c>
      <c r="M137">
        <v>18.57</v>
      </c>
      <c r="N137">
        <v>304</v>
      </c>
      <c r="O137">
        <v>11.7</v>
      </c>
      <c r="P137">
        <v>90.1</v>
      </c>
      <c r="Q137">
        <v>207</v>
      </c>
      <c r="R137">
        <v>50.7</v>
      </c>
      <c r="S137">
        <v>46.5</v>
      </c>
      <c r="T137">
        <v>1.5</v>
      </c>
      <c r="U137">
        <v>1.1000000000000001</v>
      </c>
      <c r="V137">
        <v>0.2</v>
      </c>
      <c r="W137">
        <v>0</v>
      </c>
      <c r="X137">
        <v>1.0900000000000001</v>
      </c>
      <c r="Y137">
        <v>1</v>
      </c>
      <c r="Z137">
        <v>0.03</v>
      </c>
      <c r="AA137">
        <v>0.02</v>
      </c>
      <c r="AB137">
        <v>0.01</v>
      </c>
      <c r="AC137">
        <v>0</v>
      </c>
      <c r="AD137">
        <v>7.2</v>
      </c>
      <c r="AE137">
        <v>175.5</v>
      </c>
    </row>
    <row r="138" spans="1:31" x14ac:dyDescent="0.25">
      <c r="A138" s="35" t="s">
        <v>720</v>
      </c>
      <c r="B138">
        <v>3</v>
      </c>
      <c r="C138" s="75" t="s">
        <v>68</v>
      </c>
      <c r="D138" t="s">
        <v>420</v>
      </c>
      <c r="E138" s="124" t="s">
        <v>60</v>
      </c>
      <c r="F138" s="126">
        <v>637</v>
      </c>
      <c r="G138" s="35">
        <v>6</v>
      </c>
      <c r="H138">
        <v>2.5</v>
      </c>
      <c r="I138">
        <v>3.61</v>
      </c>
      <c r="J138">
        <v>5.4</v>
      </c>
      <c r="K138">
        <v>0.29799999999999999</v>
      </c>
      <c r="L138">
        <v>1.49</v>
      </c>
      <c r="M138">
        <v>18.079999999999998</v>
      </c>
      <c r="N138">
        <v>342</v>
      </c>
      <c r="O138">
        <v>11.3</v>
      </c>
      <c r="P138">
        <v>82.6</v>
      </c>
      <c r="Q138">
        <v>220</v>
      </c>
      <c r="R138">
        <v>38</v>
      </c>
      <c r="S138">
        <v>59.6</v>
      </c>
      <c r="T138">
        <v>0.7</v>
      </c>
      <c r="U138">
        <v>1.5</v>
      </c>
      <c r="V138">
        <v>0.2</v>
      </c>
      <c r="W138">
        <v>0</v>
      </c>
      <c r="X138">
        <v>0.95</v>
      </c>
      <c r="Y138">
        <v>1.49</v>
      </c>
      <c r="Z138">
        <v>0.02</v>
      </c>
      <c r="AA138">
        <v>0.04</v>
      </c>
      <c r="AB138">
        <v>0.01</v>
      </c>
      <c r="AC138">
        <v>0</v>
      </c>
      <c r="AD138">
        <v>9.6</v>
      </c>
      <c r="AE138">
        <v>346.7</v>
      </c>
    </row>
    <row r="139" spans="1:31" x14ac:dyDescent="0.25">
      <c r="A139" s="35" t="s">
        <v>855</v>
      </c>
      <c r="B139">
        <v>3</v>
      </c>
      <c r="C139" s="75" t="s">
        <v>386</v>
      </c>
      <c r="D139" t="s">
        <v>419</v>
      </c>
      <c r="E139" s="124" t="s">
        <v>60</v>
      </c>
      <c r="F139" s="126">
        <v>1017</v>
      </c>
      <c r="G139" s="35">
        <v>6</v>
      </c>
      <c r="H139">
        <v>0.49</v>
      </c>
      <c r="I139">
        <v>3.93</v>
      </c>
      <c r="J139">
        <v>5.5</v>
      </c>
      <c r="K139">
        <v>0.29099999999999998</v>
      </c>
      <c r="L139">
        <v>1.39</v>
      </c>
      <c r="M139">
        <v>18.829999999999998</v>
      </c>
      <c r="N139">
        <v>291</v>
      </c>
      <c r="O139">
        <v>11.4</v>
      </c>
      <c r="P139">
        <v>74.099999999999994</v>
      </c>
      <c r="Q139">
        <v>218</v>
      </c>
      <c r="R139">
        <v>30.7</v>
      </c>
      <c r="S139">
        <v>63.4</v>
      </c>
      <c r="T139">
        <v>0.7</v>
      </c>
      <c r="U139">
        <v>4.0999999999999996</v>
      </c>
      <c r="V139">
        <v>1</v>
      </c>
      <c r="W139">
        <v>0</v>
      </c>
      <c r="X139">
        <v>0.15</v>
      </c>
      <c r="Y139">
        <v>0.31</v>
      </c>
      <c r="Z139">
        <v>0</v>
      </c>
      <c r="AA139">
        <v>0.02</v>
      </c>
      <c r="AB139">
        <v>0.01</v>
      </c>
      <c r="AC139">
        <v>0</v>
      </c>
      <c r="AD139">
        <v>9.1</v>
      </c>
      <c r="AE139">
        <v>355.9</v>
      </c>
    </row>
    <row r="140" spans="1:31" x14ac:dyDescent="0.25">
      <c r="A140" s="35" t="s">
        <v>813</v>
      </c>
      <c r="B140">
        <v>3</v>
      </c>
      <c r="C140" s="75" t="s">
        <v>388</v>
      </c>
      <c r="D140" t="s">
        <v>419</v>
      </c>
      <c r="E140" s="124" t="s">
        <v>49</v>
      </c>
      <c r="F140" s="126">
        <v>909</v>
      </c>
      <c r="G140" s="35">
        <v>6</v>
      </c>
      <c r="H140">
        <v>1.45</v>
      </c>
      <c r="I140">
        <v>3.66</v>
      </c>
      <c r="J140">
        <v>5.7</v>
      </c>
      <c r="K140">
        <v>0.30399999999999999</v>
      </c>
      <c r="L140">
        <v>1.56</v>
      </c>
      <c r="M140">
        <v>18.78</v>
      </c>
      <c r="N140">
        <v>375</v>
      </c>
      <c r="O140">
        <v>11.1</v>
      </c>
      <c r="P140">
        <v>83</v>
      </c>
      <c r="Q140">
        <v>216</v>
      </c>
      <c r="R140">
        <v>4.8</v>
      </c>
      <c r="S140">
        <v>90.2</v>
      </c>
      <c r="T140">
        <v>0.4</v>
      </c>
      <c r="U140">
        <v>4.5999999999999996</v>
      </c>
      <c r="V140">
        <v>0.1</v>
      </c>
      <c r="W140">
        <v>0</v>
      </c>
      <c r="X140">
        <v>7.0000000000000007E-2</v>
      </c>
      <c r="Y140">
        <v>1.3</v>
      </c>
      <c r="Z140">
        <v>0.01</v>
      </c>
      <c r="AA140">
        <v>7.0000000000000007E-2</v>
      </c>
      <c r="AB140">
        <v>0</v>
      </c>
      <c r="AC140">
        <v>0</v>
      </c>
      <c r="AD140">
        <v>7.2</v>
      </c>
      <c r="AE140">
        <v>263.10000000000002</v>
      </c>
    </row>
    <row r="141" spans="1:31" x14ac:dyDescent="0.25">
      <c r="A141" s="35" t="s">
        <v>861</v>
      </c>
      <c r="B141">
        <v>3</v>
      </c>
      <c r="C141" s="75" t="s">
        <v>389</v>
      </c>
      <c r="D141" t="s">
        <v>419</v>
      </c>
      <c r="E141" s="124" t="s">
        <v>49</v>
      </c>
      <c r="F141" s="126">
        <v>795</v>
      </c>
      <c r="G141" s="35">
        <v>6</v>
      </c>
      <c r="H141">
        <v>1.2</v>
      </c>
      <c r="I141">
        <v>3.79</v>
      </c>
      <c r="J141">
        <v>5.7</v>
      </c>
      <c r="K141">
        <v>0.30299999999999999</v>
      </c>
      <c r="L141">
        <v>1.49</v>
      </c>
      <c r="M141">
        <v>18.670000000000002</v>
      </c>
      <c r="N141">
        <v>297</v>
      </c>
      <c r="O141">
        <v>11.4</v>
      </c>
      <c r="P141">
        <v>80</v>
      </c>
      <c r="Q141">
        <v>215</v>
      </c>
      <c r="R141">
        <v>27.1</v>
      </c>
      <c r="S141">
        <v>69.3</v>
      </c>
      <c r="T141">
        <v>0.9</v>
      </c>
      <c r="U141">
        <v>2.6</v>
      </c>
      <c r="V141">
        <v>0.1</v>
      </c>
      <c r="W141">
        <v>0</v>
      </c>
      <c r="X141">
        <v>0.32</v>
      </c>
      <c r="Y141">
        <v>0.83</v>
      </c>
      <c r="Z141">
        <v>0.01</v>
      </c>
      <c r="AA141">
        <v>0.03</v>
      </c>
      <c r="AB141">
        <v>0</v>
      </c>
      <c r="AC141">
        <v>0</v>
      </c>
      <c r="AD141">
        <v>6.3</v>
      </c>
      <c r="AE141">
        <v>237.1</v>
      </c>
    </row>
    <row r="142" spans="1:31" x14ac:dyDescent="0.25">
      <c r="A142" s="35" t="s">
        <v>703</v>
      </c>
      <c r="B142">
        <v>3</v>
      </c>
      <c r="C142" s="75" t="s">
        <v>390</v>
      </c>
      <c r="D142" t="s">
        <v>420</v>
      </c>
      <c r="E142" s="124" t="s">
        <v>49</v>
      </c>
      <c r="F142" s="126">
        <v>828</v>
      </c>
      <c r="G142" s="35">
        <v>6</v>
      </c>
      <c r="H142">
        <v>5.35</v>
      </c>
      <c r="I142">
        <v>2.97</v>
      </c>
      <c r="J142">
        <v>4.3</v>
      </c>
      <c r="K142">
        <v>0.248</v>
      </c>
      <c r="L142">
        <v>1.46</v>
      </c>
      <c r="M142">
        <v>17.52</v>
      </c>
      <c r="N142">
        <v>303</v>
      </c>
      <c r="O142">
        <v>11.3</v>
      </c>
      <c r="P142">
        <v>83.4</v>
      </c>
      <c r="Q142">
        <v>214</v>
      </c>
      <c r="R142">
        <v>72.599999999999994</v>
      </c>
      <c r="S142">
        <v>23.1</v>
      </c>
      <c r="T142">
        <v>1.1000000000000001</v>
      </c>
      <c r="U142">
        <v>3.1</v>
      </c>
      <c r="V142">
        <v>0.2</v>
      </c>
      <c r="W142">
        <v>0</v>
      </c>
      <c r="X142">
        <v>3.89</v>
      </c>
      <c r="Y142">
        <v>1.24</v>
      </c>
      <c r="Z142">
        <v>0.06</v>
      </c>
      <c r="AA142">
        <v>0.16</v>
      </c>
      <c r="AB142">
        <v>0.01</v>
      </c>
      <c r="AC142">
        <v>0</v>
      </c>
      <c r="AD142">
        <v>6.7</v>
      </c>
      <c r="AE142">
        <v>198.8</v>
      </c>
    </row>
    <row r="143" spans="1:31" x14ac:dyDescent="0.25">
      <c r="A143" s="35" t="s">
        <v>858</v>
      </c>
      <c r="B143">
        <v>3</v>
      </c>
      <c r="C143" s="75" t="s">
        <v>384</v>
      </c>
      <c r="D143" t="s">
        <v>419</v>
      </c>
      <c r="E143" s="124" t="s">
        <v>49</v>
      </c>
      <c r="F143" s="126">
        <v>702</v>
      </c>
      <c r="G143" s="35">
        <v>6</v>
      </c>
      <c r="H143">
        <v>2.2000000000000002</v>
      </c>
      <c r="I143">
        <v>4.09</v>
      </c>
      <c r="J143">
        <v>6.2</v>
      </c>
      <c r="K143">
        <v>0.33800000000000002</v>
      </c>
      <c r="L143">
        <v>1.52</v>
      </c>
      <c r="M143">
        <v>18.350000000000001</v>
      </c>
      <c r="N143">
        <v>270</v>
      </c>
      <c r="O143">
        <v>13</v>
      </c>
      <c r="P143">
        <v>82.8</v>
      </c>
      <c r="Q143">
        <v>230</v>
      </c>
      <c r="R143">
        <v>61.8</v>
      </c>
      <c r="S143">
        <v>33.200000000000003</v>
      </c>
      <c r="T143">
        <v>0.5</v>
      </c>
      <c r="U143">
        <v>4.3</v>
      </c>
      <c r="V143">
        <v>0.2</v>
      </c>
      <c r="W143">
        <v>0</v>
      </c>
      <c r="X143">
        <v>1.36</v>
      </c>
      <c r="Y143">
        <v>0.73</v>
      </c>
      <c r="Z143">
        <v>0.01</v>
      </c>
      <c r="AA143">
        <v>0.1</v>
      </c>
      <c r="AB143">
        <v>0.01</v>
      </c>
      <c r="AC143">
        <v>0</v>
      </c>
      <c r="AD143">
        <v>5.0999999999999996</v>
      </c>
      <c r="AE143">
        <v>209.3</v>
      </c>
    </row>
    <row r="144" spans="1:31" x14ac:dyDescent="0.25">
      <c r="A144" s="35" t="s">
        <v>605</v>
      </c>
      <c r="B144">
        <v>3</v>
      </c>
      <c r="C144" s="75" t="s">
        <v>202</v>
      </c>
      <c r="D144" t="s">
        <v>421</v>
      </c>
      <c r="E144" s="124" t="s">
        <v>49</v>
      </c>
      <c r="F144" s="126">
        <v>908</v>
      </c>
      <c r="G144" s="35">
        <v>6</v>
      </c>
      <c r="H144">
        <v>1.82</v>
      </c>
      <c r="I144">
        <v>3.57</v>
      </c>
      <c r="J144">
        <v>5.3</v>
      </c>
      <c r="K144">
        <v>0.30299999999999999</v>
      </c>
      <c r="L144">
        <v>1.49</v>
      </c>
      <c r="M144">
        <v>17.600000000000001</v>
      </c>
      <c r="N144">
        <v>361</v>
      </c>
      <c r="O144">
        <v>10.4</v>
      </c>
      <c r="P144">
        <v>84.8</v>
      </c>
      <c r="Q144">
        <v>222</v>
      </c>
      <c r="R144">
        <v>26.3</v>
      </c>
      <c r="S144">
        <v>72.400000000000006</v>
      </c>
      <c r="T144">
        <v>0.3</v>
      </c>
      <c r="U144">
        <v>0.9</v>
      </c>
      <c r="V144">
        <v>0</v>
      </c>
      <c r="W144">
        <v>0.1</v>
      </c>
      <c r="X144">
        <v>0.48</v>
      </c>
      <c r="Y144">
        <v>1.32</v>
      </c>
      <c r="Z144">
        <v>0.01</v>
      </c>
      <c r="AA144">
        <v>0.02</v>
      </c>
      <c r="AB144">
        <v>0</v>
      </c>
      <c r="AC144">
        <v>0</v>
      </c>
      <c r="AD144">
        <v>7.3</v>
      </c>
      <c r="AE144">
        <v>261.60000000000002</v>
      </c>
    </row>
    <row r="145" spans="1:31" x14ac:dyDescent="0.25">
      <c r="A145" s="35" t="s">
        <v>1442</v>
      </c>
      <c r="B145">
        <v>3</v>
      </c>
      <c r="C145" s="75" t="s">
        <v>578</v>
      </c>
      <c r="D145" t="s">
        <v>417</v>
      </c>
      <c r="E145" s="124" t="s">
        <v>49</v>
      </c>
      <c r="F145" s="126">
        <v>826</v>
      </c>
      <c r="G145" s="35">
        <v>6</v>
      </c>
      <c r="H145">
        <v>0.4</v>
      </c>
      <c r="I145">
        <v>4.01</v>
      </c>
      <c r="J145">
        <v>5.8</v>
      </c>
      <c r="K145">
        <v>0.31900000000000001</v>
      </c>
      <c r="L145">
        <v>1.45</v>
      </c>
      <c r="M145">
        <v>18.22</v>
      </c>
      <c r="N145">
        <v>327</v>
      </c>
      <c r="O145">
        <v>11.4</v>
      </c>
      <c r="P145">
        <v>79.5</v>
      </c>
      <c r="Q145">
        <v>218</v>
      </c>
      <c r="R145">
        <v>7.7</v>
      </c>
      <c r="S145">
        <v>88.1</v>
      </c>
      <c r="T145">
        <v>0</v>
      </c>
      <c r="U145">
        <v>1.5</v>
      </c>
      <c r="V145">
        <v>0.06</v>
      </c>
      <c r="W145">
        <v>0</v>
      </c>
      <c r="X145">
        <v>0.04</v>
      </c>
      <c r="Y145">
        <v>0.35</v>
      </c>
      <c r="Z145">
        <v>0</v>
      </c>
      <c r="AA145">
        <v>0.01</v>
      </c>
      <c r="AB145">
        <v>0</v>
      </c>
      <c r="AC145">
        <v>0</v>
      </c>
      <c r="AD145">
        <v>7.3</v>
      </c>
      <c r="AE145">
        <v>293</v>
      </c>
    </row>
    <row r="146" spans="1:31" x14ac:dyDescent="0.25">
      <c r="A146" s="35" t="s">
        <v>763</v>
      </c>
      <c r="B146">
        <v>3</v>
      </c>
      <c r="C146" s="75" t="s">
        <v>145</v>
      </c>
      <c r="D146" t="s">
        <v>417</v>
      </c>
      <c r="E146" s="124" t="s">
        <v>49</v>
      </c>
      <c r="F146" s="126">
        <v>970</v>
      </c>
      <c r="G146" s="35">
        <v>6</v>
      </c>
      <c r="H146">
        <v>1</v>
      </c>
      <c r="I146">
        <v>3.64</v>
      </c>
      <c r="J146">
        <v>5.0999999999999996</v>
      </c>
      <c r="K146">
        <v>0.28599999999999998</v>
      </c>
      <c r="L146">
        <v>1.41</v>
      </c>
      <c r="M146">
        <v>17.940000000000001</v>
      </c>
      <c r="N146">
        <v>252</v>
      </c>
      <c r="O146">
        <v>12.2</v>
      </c>
      <c r="P146">
        <v>78.5</v>
      </c>
      <c r="Q146">
        <v>225</v>
      </c>
      <c r="R146">
        <v>34.9</v>
      </c>
      <c r="S146">
        <v>61.8</v>
      </c>
      <c r="T146">
        <v>0.2</v>
      </c>
      <c r="U146">
        <v>2.9</v>
      </c>
      <c r="V146">
        <v>0.1</v>
      </c>
      <c r="W146">
        <v>0</v>
      </c>
      <c r="X146">
        <v>0.35</v>
      </c>
      <c r="Y146">
        <v>0.62</v>
      </c>
      <c r="Z146">
        <v>0</v>
      </c>
      <c r="AA146">
        <v>0.03</v>
      </c>
      <c r="AB146">
        <v>0</v>
      </c>
      <c r="AC146">
        <v>0</v>
      </c>
      <c r="AD146">
        <v>7.6</v>
      </c>
      <c r="AE146">
        <v>276.3</v>
      </c>
    </row>
    <row r="147" spans="1:31" x14ac:dyDescent="0.25">
      <c r="A147" t="str">
        <f t="shared" ref="A147:A162" si="4">C147&amp;B147</f>
        <v>A1</v>
      </c>
      <c r="B147">
        <v>1</v>
      </c>
      <c r="C147" s="75" t="s">
        <v>36</v>
      </c>
      <c r="D147" t="s">
        <v>417</v>
      </c>
      <c r="E147" s="78" t="s">
        <v>60</v>
      </c>
      <c r="F147" s="79">
        <v>803</v>
      </c>
      <c r="G147" s="35">
        <v>12</v>
      </c>
    </row>
    <row r="148" spans="1:31" x14ac:dyDescent="0.25">
      <c r="A148" t="str">
        <f t="shared" si="4"/>
        <v>B1</v>
      </c>
      <c r="B148">
        <v>1</v>
      </c>
      <c r="C148" s="75" t="s">
        <v>39</v>
      </c>
      <c r="D148" t="s">
        <v>418</v>
      </c>
      <c r="E148" s="78" t="s">
        <v>49</v>
      </c>
      <c r="F148" s="79">
        <v>1222</v>
      </c>
      <c r="G148" s="35">
        <v>12</v>
      </c>
    </row>
    <row r="149" spans="1:31" x14ac:dyDescent="0.25">
      <c r="A149" t="str">
        <f t="shared" si="4"/>
        <v>C1</v>
      </c>
      <c r="B149">
        <v>1</v>
      </c>
      <c r="C149" s="75" t="s">
        <v>43</v>
      </c>
      <c r="D149" t="s">
        <v>419</v>
      </c>
      <c r="E149" s="78" t="s">
        <v>49</v>
      </c>
      <c r="F149" s="79">
        <v>1065.9000000000001</v>
      </c>
      <c r="G149" s="35">
        <v>12</v>
      </c>
      <c r="H149">
        <v>0.67</v>
      </c>
      <c r="I149">
        <v>3.92</v>
      </c>
      <c r="J149">
        <v>5.7</v>
      </c>
      <c r="K149">
        <v>0.29899999999999999</v>
      </c>
      <c r="L149">
        <v>1.44</v>
      </c>
      <c r="M149">
        <v>18.920000000000002</v>
      </c>
      <c r="N149">
        <v>282</v>
      </c>
      <c r="O149">
        <v>11</v>
      </c>
      <c r="P149">
        <v>76.2</v>
      </c>
      <c r="Q149">
        <v>219</v>
      </c>
      <c r="R149">
        <v>37.1</v>
      </c>
      <c r="S149">
        <v>56</v>
      </c>
      <c r="T149">
        <v>1.1000000000000001</v>
      </c>
      <c r="U149">
        <v>5.8</v>
      </c>
      <c r="V149">
        <v>0.8</v>
      </c>
      <c r="W149">
        <v>0</v>
      </c>
      <c r="X149">
        <v>0.25</v>
      </c>
      <c r="Y149">
        <v>0.38</v>
      </c>
      <c r="Z149">
        <v>0.01</v>
      </c>
      <c r="AA149">
        <v>0.04</v>
      </c>
      <c r="AB149">
        <v>0.01</v>
      </c>
      <c r="AC149">
        <v>0</v>
      </c>
      <c r="AD149">
        <v>7.1</v>
      </c>
      <c r="AE149">
        <v>276.8</v>
      </c>
    </row>
    <row r="150" spans="1:31" x14ac:dyDescent="0.25">
      <c r="A150" t="str">
        <f t="shared" si="4"/>
        <v>D1</v>
      </c>
      <c r="B150">
        <v>1</v>
      </c>
      <c r="C150" s="75" t="s">
        <v>45</v>
      </c>
      <c r="D150" t="s">
        <v>419</v>
      </c>
      <c r="E150" s="78" t="s">
        <v>49</v>
      </c>
      <c r="F150" s="79">
        <v>1224</v>
      </c>
      <c r="G150" s="35">
        <v>12</v>
      </c>
    </row>
    <row r="151" spans="1:31" x14ac:dyDescent="0.25">
      <c r="A151" t="str">
        <f t="shared" si="4"/>
        <v>E1</v>
      </c>
      <c r="B151">
        <v>1</v>
      </c>
      <c r="C151" s="75" t="s">
        <v>47</v>
      </c>
      <c r="D151" t="s">
        <v>419</v>
      </c>
      <c r="E151" s="78" t="s">
        <v>60</v>
      </c>
      <c r="F151" s="79">
        <v>1174</v>
      </c>
      <c r="G151" s="35">
        <v>12</v>
      </c>
      <c r="H151">
        <v>2.42</v>
      </c>
      <c r="I151">
        <v>3.72</v>
      </c>
      <c r="J151">
        <v>5.4</v>
      </c>
      <c r="K151">
        <v>0.30099999999999999</v>
      </c>
      <c r="L151">
        <v>1.46</v>
      </c>
      <c r="M151">
        <v>18.02</v>
      </c>
      <c r="N151">
        <v>284</v>
      </c>
      <c r="O151">
        <v>11</v>
      </c>
      <c r="P151">
        <v>80.900000000000006</v>
      </c>
      <c r="Q151">
        <v>220</v>
      </c>
      <c r="R151">
        <v>5.6</v>
      </c>
      <c r="S151">
        <v>89.1</v>
      </c>
      <c r="T151">
        <v>0</v>
      </c>
      <c r="U151">
        <v>5.3</v>
      </c>
      <c r="V151">
        <v>0.1</v>
      </c>
      <c r="W151">
        <v>0</v>
      </c>
      <c r="X151">
        <v>0.14000000000000001</v>
      </c>
      <c r="Y151">
        <v>2.16</v>
      </c>
      <c r="Z151">
        <v>0</v>
      </c>
      <c r="AA151">
        <v>0.13</v>
      </c>
      <c r="AB151">
        <v>0</v>
      </c>
      <c r="AC151">
        <v>0</v>
      </c>
      <c r="AD151">
        <v>5</v>
      </c>
      <c r="AE151">
        <v>186.5</v>
      </c>
    </row>
    <row r="152" spans="1:31" x14ac:dyDescent="0.25">
      <c r="A152" t="str">
        <f t="shared" si="4"/>
        <v>F1</v>
      </c>
      <c r="B152">
        <v>1</v>
      </c>
      <c r="C152" s="75" t="s">
        <v>49</v>
      </c>
      <c r="D152" t="s">
        <v>418</v>
      </c>
      <c r="E152" s="78" t="s">
        <v>49</v>
      </c>
      <c r="F152" s="79">
        <v>1038.5</v>
      </c>
      <c r="G152" s="35">
        <v>12</v>
      </c>
      <c r="H152">
        <v>0.76</v>
      </c>
      <c r="I152">
        <v>3.69</v>
      </c>
      <c r="J152">
        <v>5.7</v>
      </c>
      <c r="K152">
        <v>0.315</v>
      </c>
      <c r="L152">
        <v>1.54</v>
      </c>
      <c r="M152">
        <v>18.100000000000001</v>
      </c>
      <c r="N152">
        <v>233</v>
      </c>
      <c r="O152">
        <v>12.1</v>
      </c>
      <c r="P152">
        <v>85.3</v>
      </c>
      <c r="Q152">
        <v>220</v>
      </c>
      <c r="R152">
        <v>52.8</v>
      </c>
      <c r="S152">
        <v>42.5</v>
      </c>
      <c r="T152">
        <v>0.8</v>
      </c>
      <c r="U152">
        <v>3.3</v>
      </c>
      <c r="V152">
        <v>0.5</v>
      </c>
      <c r="W152">
        <v>0</v>
      </c>
      <c r="X152">
        <v>0.4</v>
      </c>
      <c r="Y152">
        <v>0.32</v>
      </c>
      <c r="Z152">
        <v>0.01</v>
      </c>
      <c r="AA152">
        <v>0.03</v>
      </c>
      <c r="AB152">
        <v>0</v>
      </c>
      <c r="AC152">
        <v>0</v>
      </c>
      <c r="AD152">
        <v>5</v>
      </c>
      <c r="AE152">
        <v>184.2</v>
      </c>
    </row>
    <row r="153" spans="1:31" x14ac:dyDescent="0.25">
      <c r="A153" t="str">
        <f t="shared" si="4"/>
        <v>G1</v>
      </c>
      <c r="B153">
        <v>1</v>
      </c>
      <c r="C153" s="75" t="s">
        <v>51</v>
      </c>
      <c r="D153" t="s">
        <v>419</v>
      </c>
      <c r="E153" s="78" t="s">
        <v>49</v>
      </c>
      <c r="F153" s="79">
        <v>932.1</v>
      </c>
      <c r="G153" s="35">
        <v>12</v>
      </c>
      <c r="H153">
        <v>1.91</v>
      </c>
      <c r="I153">
        <v>3.83</v>
      </c>
      <c r="J153">
        <v>5.6</v>
      </c>
      <c r="K153">
        <v>0.27900000000000003</v>
      </c>
      <c r="L153">
        <v>1.46</v>
      </c>
      <c r="M153">
        <v>20.079999999999998</v>
      </c>
      <c r="N153">
        <v>286</v>
      </c>
      <c r="O153">
        <v>11.5</v>
      </c>
      <c r="P153">
        <v>72.7</v>
      </c>
      <c r="Q153">
        <v>209</v>
      </c>
      <c r="R153">
        <v>29.5</v>
      </c>
      <c r="S153">
        <v>62.1</v>
      </c>
      <c r="T153">
        <v>1.2</v>
      </c>
      <c r="U153">
        <v>6.7</v>
      </c>
      <c r="V153">
        <v>0.5</v>
      </c>
      <c r="W153">
        <v>0</v>
      </c>
      <c r="X153">
        <v>0.56000000000000005</v>
      </c>
      <c r="Y153">
        <v>1.19</v>
      </c>
      <c r="Z153">
        <v>0.02</v>
      </c>
      <c r="AA153">
        <v>0.13</v>
      </c>
      <c r="AB153">
        <v>0.01</v>
      </c>
      <c r="AC153">
        <v>0</v>
      </c>
      <c r="AD153">
        <v>5.2</v>
      </c>
      <c r="AE153">
        <v>199.2</v>
      </c>
    </row>
    <row r="154" spans="1:31" x14ac:dyDescent="0.25">
      <c r="A154" t="str">
        <f t="shared" si="4"/>
        <v>H1</v>
      </c>
      <c r="B154">
        <v>1</v>
      </c>
      <c r="C154" s="75" t="s">
        <v>53</v>
      </c>
      <c r="D154" t="s">
        <v>421</v>
      </c>
      <c r="E154" s="78" t="s">
        <v>60</v>
      </c>
      <c r="F154" s="79">
        <v>1165</v>
      </c>
      <c r="G154" s="35">
        <v>12</v>
      </c>
      <c r="H154">
        <v>2.67</v>
      </c>
      <c r="I154">
        <v>4.1900000000000004</v>
      </c>
      <c r="J154">
        <v>5.8</v>
      </c>
      <c r="K154">
        <v>0.33500000000000002</v>
      </c>
      <c r="L154">
        <v>1.38</v>
      </c>
      <c r="M154">
        <v>17.260000000000002</v>
      </c>
      <c r="N154">
        <v>271</v>
      </c>
      <c r="O154">
        <v>11.7</v>
      </c>
      <c r="P154">
        <v>80</v>
      </c>
      <c r="Q154">
        <v>220</v>
      </c>
      <c r="R154">
        <v>58</v>
      </c>
      <c r="S154">
        <v>33.4</v>
      </c>
      <c r="T154">
        <v>0.8</v>
      </c>
      <c r="U154">
        <v>7.6</v>
      </c>
      <c r="V154">
        <v>0.2</v>
      </c>
      <c r="W154">
        <v>0</v>
      </c>
      <c r="X154">
        <v>1.55</v>
      </c>
      <c r="Y154">
        <v>0.89</v>
      </c>
      <c r="Z154">
        <v>0.02</v>
      </c>
      <c r="AA154">
        <v>0.2</v>
      </c>
      <c r="AB154">
        <v>0.01</v>
      </c>
      <c r="AC154">
        <v>0</v>
      </c>
      <c r="AD154">
        <v>5.4</v>
      </c>
      <c r="AE154">
        <v>227.7</v>
      </c>
    </row>
    <row r="155" spans="1:31" x14ac:dyDescent="0.25">
      <c r="A155" t="str">
        <f t="shared" si="4"/>
        <v>I1</v>
      </c>
      <c r="B155">
        <v>1</v>
      </c>
      <c r="C155" s="75" t="s">
        <v>56</v>
      </c>
      <c r="D155" t="s">
        <v>418</v>
      </c>
      <c r="E155" s="78" t="s">
        <v>60</v>
      </c>
      <c r="F155" s="79">
        <v>1075</v>
      </c>
      <c r="G155" s="35">
        <v>12</v>
      </c>
      <c r="H155">
        <v>0.79</v>
      </c>
      <c r="I155">
        <v>3.8</v>
      </c>
      <c r="J155">
        <v>5.3</v>
      </c>
      <c r="K155">
        <v>0.29899999999999999</v>
      </c>
      <c r="L155">
        <v>1.4</v>
      </c>
      <c r="M155">
        <v>17.73</v>
      </c>
      <c r="N155">
        <v>247</v>
      </c>
      <c r="O155">
        <v>11.4</v>
      </c>
      <c r="P155">
        <v>78.8</v>
      </c>
      <c r="Q155">
        <v>218</v>
      </c>
      <c r="R155">
        <v>67.8</v>
      </c>
      <c r="S155">
        <v>27.6</v>
      </c>
      <c r="T155">
        <v>0</v>
      </c>
      <c r="U155">
        <v>4.0999999999999996</v>
      </c>
      <c r="V155">
        <v>0.5</v>
      </c>
      <c r="W155">
        <v>0</v>
      </c>
      <c r="X155">
        <v>0.54</v>
      </c>
      <c r="Y155">
        <v>0.22</v>
      </c>
      <c r="Z155">
        <v>0</v>
      </c>
      <c r="AA155">
        <v>0.03</v>
      </c>
      <c r="AB155">
        <v>0</v>
      </c>
      <c r="AC155">
        <v>0</v>
      </c>
      <c r="AD155">
        <v>4.3</v>
      </c>
      <c r="AE155">
        <v>162.9</v>
      </c>
    </row>
    <row r="156" spans="1:31" x14ac:dyDescent="0.25">
      <c r="A156" t="str">
        <f t="shared" si="4"/>
        <v>J1</v>
      </c>
      <c r="B156">
        <v>1</v>
      </c>
      <c r="C156" s="75" t="s">
        <v>80</v>
      </c>
      <c r="D156" t="s">
        <v>417</v>
      </c>
      <c r="E156" s="78" t="s">
        <v>60</v>
      </c>
      <c r="F156" s="79">
        <v>1324.5</v>
      </c>
      <c r="G156" s="35">
        <v>12</v>
      </c>
      <c r="H156">
        <v>2.44</v>
      </c>
      <c r="I156">
        <v>2.7</v>
      </c>
      <c r="J156">
        <v>4.5</v>
      </c>
      <c r="K156">
        <v>0.221</v>
      </c>
      <c r="L156">
        <v>1.67</v>
      </c>
      <c r="M156">
        <v>20.28</v>
      </c>
      <c r="N156">
        <v>177</v>
      </c>
      <c r="O156">
        <v>11.7</v>
      </c>
      <c r="P156">
        <v>82.2</v>
      </c>
      <c r="Q156">
        <v>204</v>
      </c>
      <c r="R156">
        <v>37.1</v>
      </c>
      <c r="S156">
        <v>56.2</v>
      </c>
      <c r="T156">
        <v>1.2</v>
      </c>
      <c r="U156">
        <v>4.9000000000000004</v>
      </c>
      <c r="V156">
        <v>0.4</v>
      </c>
      <c r="W156">
        <v>0.2</v>
      </c>
      <c r="X156">
        <v>0.91</v>
      </c>
      <c r="Y156">
        <v>1.37</v>
      </c>
      <c r="Z156">
        <v>0.03</v>
      </c>
      <c r="AA156">
        <v>0.12</v>
      </c>
      <c r="AB156">
        <v>0.01</v>
      </c>
      <c r="AC156">
        <v>0</v>
      </c>
      <c r="AD156">
        <v>6.5</v>
      </c>
      <c r="AE156">
        <v>175.6</v>
      </c>
    </row>
    <row r="157" spans="1:31" x14ac:dyDescent="0.25">
      <c r="A157" t="str">
        <f t="shared" si="4"/>
        <v>K1</v>
      </c>
      <c r="B157">
        <v>1</v>
      </c>
      <c r="C157" s="75" t="s">
        <v>82</v>
      </c>
      <c r="D157" t="s">
        <v>420</v>
      </c>
      <c r="E157" s="78" t="s">
        <v>60</v>
      </c>
      <c r="F157" s="79">
        <v>1206.8</v>
      </c>
      <c r="G157" s="35">
        <v>12</v>
      </c>
      <c r="H157">
        <v>4.2699999999999996</v>
      </c>
      <c r="I157">
        <v>4.26</v>
      </c>
      <c r="J157">
        <v>5.7</v>
      </c>
      <c r="K157">
        <v>0.317</v>
      </c>
      <c r="L157">
        <v>1.35</v>
      </c>
      <c r="M157">
        <v>18.079999999999998</v>
      </c>
      <c r="N157">
        <v>381</v>
      </c>
      <c r="O157">
        <v>11.7</v>
      </c>
      <c r="P157">
        <v>74.5</v>
      </c>
      <c r="Q157">
        <v>224</v>
      </c>
      <c r="R157">
        <v>23.6</v>
      </c>
      <c r="S157">
        <v>72.3</v>
      </c>
      <c r="T157">
        <v>0.2</v>
      </c>
      <c r="U157">
        <v>3.8</v>
      </c>
      <c r="V157">
        <v>0.1</v>
      </c>
      <c r="W157">
        <v>0.1</v>
      </c>
      <c r="X157">
        <v>1.01</v>
      </c>
      <c r="Y157">
        <v>3.09</v>
      </c>
      <c r="Z157">
        <v>0.01</v>
      </c>
      <c r="AA157">
        <v>0.16</v>
      </c>
      <c r="AB157">
        <v>0</v>
      </c>
      <c r="AC157">
        <v>0</v>
      </c>
      <c r="AD157">
        <v>6.3</v>
      </c>
      <c r="AE157">
        <v>269</v>
      </c>
    </row>
    <row r="158" spans="1:31" x14ac:dyDescent="0.25">
      <c r="A158" t="str">
        <f t="shared" si="4"/>
        <v>L1</v>
      </c>
      <c r="B158">
        <v>1</v>
      </c>
      <c r="C158" s="75" t="s">
        <v>58</v>
      </c>
      <c r="D158" t="s">
        <v>421</v>
      </c>
      <c r="E158" s="78" t="s">
        <v>49</v>
      </c>
      <c r="F158" s="79">
        <v>1129</v>
      </c>
      <c r="G158" s="35">
        <v>12</v>
      </c>
      <c r="H158">
        <v>2.63</v>
      </c>
      <c r="I158">
        <v>3.87</v>
      </c>
      <c r="J158">
        <v>5.5</v>
      </c>
      <c r="K158">
        <v>0.307</v>
      </c>
      <c r="L158">
        <v>1.42</v>
      </c>
      <c r="M158">
        <v>17.93</v>
      </c>
      <c r="N158">
        <v>415</v>
      </c>
      <c r="O158">
        <v>10.4</v>
      </c>
      <c r="P158">
        <v>79.2</v>
      </c>
      <c r="Q158">
        <v>219</v>
      </c>
      <c r="R158">
        <v>52.7</v>
      </c>
      <c r="S158">
        <v>45.1</v>
      </c>
      <c r="T158">
        <v>0.7</v>
      </c>
      <c r="U158">
        <v>1.4</v>
      </c>
      <c r="V158">
        <v>0</v>
      </c>
      <c r="W158">
        <v>0</v>
      </c>
      <c r="X158">
        <v>1.39</v>
      </c>
      <c r="Y158">
        <v>1.19</v>
      </c>
      <c r="Z158">
        <v>0.02</v>
      </c>
      <c r="AA158">
        <v>0.04</v>
      </c>
      <c r="AB158">
        <v>0</v>
      </c>
      <c r="AC158">
        <v>0</v>
      </c>
      <c r="AD158">
        <v>6.9</v>
      </c>
      <c r="AE158">
        <v>265.7</v>
      </c>
    </row>
    <row r="159" spans="1:31" x14ac:dyDescent="0.25">
      <c r="A159" t="str">
        <f t="shared" si="4"/>
        <v>M1</v>
      </c>
      <c r="B159">
        <v>1</v>
      </c>
      <c r="C159" s="75" t="s">
        <v>60</v>
      </c>
      <c r="D159" t="s">
        <v>417</v>
      </c>
      <c r="E159" s="78" t="s">
        <v>49</v>
      </c>
      <c r="F159" s="79">
        <v>1191</v>
      </c>
      <c r="G159" s="35">
        <v>12</v>
      </c>
      <c r="H159">
        <v>0.78</v>
      </c>
      <c r="I159">
        <v>4.18</v>
      </c>
      <c r="J159">
        <v>5.5</v>
      </c>
      <c r="K159">
        <v>0.29299999999999998</v>
      </c>
      <c r="L159">
        <v>1.32</v>
      </c>
      <c r="M159">
        <v>18.84</v>
      </c>
      <c r="N159">
        <v>245</v>
      </c>
      <c r="O159">
        <v>12.2</v>
      </c>
      <c r="P159">
        <v>70.099999999999994</v>
      </c>
      <c r="Q159">
        <v>223</v>
      </c>
      <c r="R159">
        <v>65.3</v>
      </c>
      <c r="S159">
        <v>21.8</v>
      </c>
      <c r="T159">
        <v>2.2000000000000002</v>
      </c>
      <c r="U159">
        <v>10.3</v>
      </c>
      <c r="V159">
        <v>0.3</v>
      </c>
      <c r="W159">
        <v>0.2</v>
      </c>
      <c r="X159">
        <v>0.51</v>
      </c>
      <c r="Y159">
        <v>0.17</v>
      </c>
      <c r="Z159">
        <v>0.02</v>
      </c>
      <c r="AA159">
        <v>0.08</v>
      </c>
      <c r="AB159">
        <v>0</v>
      </c>
      <c r="AC159">
        <v>0</v>
      </c>
      <c r="AD159">
        <v>5.8</v>
      </c>
      <c r="AE159">
        <v>240.8</v>
      </c>
    </row>
    <row r="160" spans="1:31" x14ac:dyDescent="0.25">
      <c r="A160" t="str">
        <f t="shared" si="4"/>
        <v>N1</v>
      </c>
      <c r="B160">
        <v>1</v>
      </c>
      <c r="C160" s="75" t="s">
        <v>62</v>
      </c>
      <c r="D160" t="s">
        <v>418</v>
      </c>
      <c r="E160" s="78" t="s">
        <v>60</v>
      </c>
      <c r="F160" s="79">
        <v>1468</v>
      </c>
      <c r="G160" s="35">
        <v>12</v>
      </c>
      <c r="H160">
        <v>0.63</v>
      </c>
      <c r="I160">
        <v>2.75</v>
      </c>
      <c r="J160">
        <v>3.9</v>
      </c>
      <c r="K160">
        <v>0.217</v>
      </c>
      <c r="L160">
        <v>1.43</v>
      </c>
      <c r="M160">
        <v>18.14</v>
      </c>
      <c r="N160">
        <v>125</v>
      </c>
      <c r="O160">
        <v>12.2</v>
      </c>
      <c r="P160">
        <v>78.900000000000006</v>
      </c>
      <c r="Q160">
        <v>224</v>
      </c>
      <c r="R160">
        <v>25.7</v>
      </c>
      <c r="S160">
        <v>71.400000000000006</v>
      </c>
      <c r="T160">
        <v>0.4</v>
      </c>
      <c r="U160">
        <v>2.5</v>
      </c>
      <c r="V160">
        <v>0</v>
      </c>
      <c r="W160">
        <v>0</v>
      </c>
      <c r="X160">
        <v>0.16</v>
      </c>
      <c r="Y160">
        <v>0.45</v>
      </c>
      <c r="Z160">
        <v>0</v>
      </c>
      <c r="AA160">
        <v>0.02</v>
      </c>
      <c r="AB160">
        <v>0</v>
      </c>
      <c r="AC160">
        <v>0</v>
      </c>
      <c r="AD160">
        <v>5.6</v>
      </c>
      <c r="AE160">
        <v>154.6</v>
      </c>
    </row>
    <row r="161" spans="1:31" x14ac:dyDescent="0.25">
      <c r="A161" t="str">
        <f t="shared" si="4"/>
        <v>O1</v>
      </c>
      <c r="B161">
        <v>1</v>
      </c>
      <c r="C161" s="75" t="s">
        <v>64</v>
      </c>
      <c r="D161" t="s">
        <v>419</v>
      </c>
      <c r="E161" s="76" t="s">
        <v>60</v>
      </c>
      <c r="F161" s="77">
        <v>1314.8</v>
      </c>
      <c r="G161" s="35">
        <v>12</v>
      </c>
      <c r="H161">
        <v>1</v>
      </c>
      <c r="I161">
        <v>3.76</v>
      </c>
      <c r="J161">
        <v>5.2</v>
      </c>
      <c r="K161">
        <v>0.27100000000000002</v>
      </c>
      <c r="L161">
        <v>1.39</v>
      </c>
      <c r="M161">
        <v>19.34</v>
      </c>
      <c r="N161">
        <v>191</v>
      </c>
      <c r="O161">
        <v>11.8</v>
      </c>
      <c r="P161">
        <v>72</v>
      </c>
      <c r="Q161">
        <v>227</v>
      </c>
      <c r="R161">
        <v>72.599999999999994</v>
      </c>
      <c r="S161">
        <v>24.1</v>
      </c>
      <c r="T161">
        <v>0.5</v>
      </c>
      <c r="U161">
        <v>2.6</v>
      </c>
      <c r="V161">
        <v>0.3</v>
      </c>
      <c r="W161">
        <v>0</v>
      </c>
      <c r="X161">
        <v>0.73</v>
      </c>
      <c r="Y161">
        <v>0.24</v>
      </c>
      <c r="Z161">
        <v>0</v>
      </c>
      <c r="AA161">
        <v>0.03</v>
      </c>
      <c r="AB161">
        <v>0</v>
      </c>
      <c r="AC161">
        <v>0</v>
      </c>
      <c r="AD161">
        <v>5.9</v>
      </c>
      <c r="AE161">
        <v>221.9</v>
      </c>
    </row>
    <row r="162" spans="1:31" x14ac:dyDescent="0.25">
      <c r="A162" t="str">
        <f t="shared" si="4"/>
        <v>P1</v>
      </c>
      <c r="B162">
        <v>1</v>
      </c>
      <c r="C162" s="75" t="s">
        <v>66</v>
      </c>
      <c r="D162" t="s">
        <v>417</v>
      </c>
      <c r="E162" s="78" t="s">
        <v>60</v>
      </c>
      <c r="F162" s="79">
        <v>981</v>
      </c>
      <c r="G162" s="35">
        <v>12</v>
      </c>
    </row>
    <row r="163" spans="1:31" x14ac:dyDescent="0.25">
      <c r="C163" s="75"/>
      <c r="E163" s="78"/>
      <c r="F163" s="79"/>
    </row>
    <row r="164" spans="1:31" x14ac:dyDescent="0.25">
      <c r="A164" t="str">
        <f t="shared" ref="A164:A193" si="5">C164&amp;B164</f>
        <v>R1</v>
      </c>
      <c r="B164">
        <v>1</v>
      </c>
      <c r="C164" s="75" t="s">
        <v>68</v>
      </c>
      <c r="D164" t="s">
        <v>417</v>
      </c>
      <c r="E164" s="78" t="s">
        <v>49</v>
      </c>
      <c r="F164" s="79">
        <v>988.2</v>
      </c>
      <c r="G164" s="35">
        <v>12</v>
      </c>
      <c r="H164">
        <v>0.79</v>
      </c>
      <c r="I164">
        <v>2.4</v>
      </c>
      <c r="J164">
        <v>3.6</v>
      </c>
      <c r="K164">
        <v>0.193</v>
      </c>
      <c r="L164">
        <v>1.5</v>
      </c>
      <c r="M164">
        <v>18.61</v>
      </c>
      <c r="N164">
        <v>204</v>
      </c>
      <c r="O164">
        <v>12.3</v>
      </c>
      <c r="P164">
        <v>80.5</v>
      </c>
      <c r="Q164">
        <v>203</v>
      </c>
      <c r="R164">
        <v>25</v>
      </c>
      <c r="S164">
        <v>64.8</v>
      </c>
      <c r="T164">
        <v>0.6</v>
      </c>
      <c r="U164">
        <v>9.6</v>
      </c>
      <c r="V164">
        <v>0.2</v>
      </c>
      <c r="W164">
        <v>0</v>
      </c>
      <c r="X164">
        <v>0.2</v>
      </c>
      <c r="Y164">
        <v>0.51</v>
      </c>
      <c r="Z164">
        <v>0</v>
      </c>
      <c r="AA164">
        <v>0.08</v>
      </c>
      <c r="AB164">
        <v>0</v>
      </c>
      <c r="AC164">
        <v>0</v>
      </c>
      <c r="AD164">
        <v>4.5999999999999996</v>
      </c>
      <c r="AE164">
        <v>109.9</v>
      </c>
    </row>
    <row r="165" spans="1:31" x14ac:dyDescent="0.25">
      <c r="A165" t="str">
        <f t="shared" si="5"/>
        <v>S1</v>
      </c>
      <c r="B165">
        <v>1</v>
      </c>
      <c r="C165" s="75" t="s">
        <v>70</v>
      </c>
      <c r="D165" t="s">
        <v>420</v>
      </c>
      <c r="E165" s="78" t="s">
        <v>49</v>
      </c>
      <c r="F165" s="79">
        <v>1004</v>
      </c>
      <c r="G165" s="35">
        <v>12</v>
      </c>
      <c r="H165">
        <v>2.38</v>
      </c>
      <c r="I165">
        <v>3.74</v>
      </c>
      <c r="J165">
        <v>6.3</v>
      </c>
      <c r="K165">
        <v>0.33700000000000002</v>
      </c>
      <c r="L165">
        <v>1.69</v>
      </c>
      <c r="M165">
        <v>18.73</v>
      </c>
      <c r="N165">
        <v>348</v>
      </c>
      <c r="O165">
        <v>10.5</v>
      </c>
      <c r="P165">
        <v>90.2</v>
      </c>
      <c r="Q165">
        <v>217</v>
      </c>
      <c r="R165">
        <v>39.1</v>
      </c>
      <c r="S165">
        <v>55.6</v>
      </c>
      <c r="T165">
        <v>0.8</v>
      </c>
      <c r="U165">
        <v>4.5</v>
      </c>
      <c r="V165">
        <v>0</v>
      </c>
      <c r="W165">
        <v>0</v>
      </c>
      <c r="X165">
        <v>0.93</v>
      </c>
      <c r="Y165">
        <v>1.32</v>
      </c>
      <c r="Z165">
        <v>0.02</v>
      </c>
      <c r="AA165">
        <v>0.11</v>
      </c>
      <c r="AB165">
        <v>0</v>
      </c>
      <c r="AC165">
        <v>0</v>
      </c>
      <c r="AD165">
        <v>5.7</v>
      </c>
      <c r="AE165">
        <v>213.4</v>
      </c>
    </row>
    <row r="166" spans="1:31" x14ac:dyDescent="0.25">
      <c r="A166" t="str">
        <f t="shared" si="5"/>
        <v>A2</v>
      </c>
      <c r="B166">
        <v>2</v>
      </c>
      <c r="C166" s="75" t="s">
        <v>36</v>
      </c>
      <c r="D166" t="s">
        <v>417</v>
      </c>
      <c r="E166" s="78" t="s">
        <v>60</v>
      </c>
      <c r="F166" s="79">
        <v>1210</v>
      </c>
      <c r="G166" s="35">
        <v>12</v>
      </c>
      <c r="H166">
        <v>0.91</v>
      </c>
      <c r="I166">
        <v>3.85</v>
      </c>
      <c r="J166">
        <v>6.2</v>
      </c>
      <c r="K166">
        <v>0.318</v>
      </c>
      <c r="L166">
        <v>1.6</v>
      </c>
      <c r="M166">
        <v>19.39</v>
      </c>
      <c r="N166">
        <v>263</v>
      </c>
      <c r="O166">
        <v>10.7</v>
      </c>
      <c r="P166">
        <v>82.6</v>
      </c>
      <c r="Q166">
        <v>198</v>
      </c>
      <c r="R166">
        <v>29</v>
      </c>
      <c r="S166">
        <v>66</v>
      </c>
      <c r="T166">
        <v>0.5</v>
      </c>
      <c r="U166">
        <v>4.3</v>
      </c>
      <c r="V166">
        <v>0.1</v>
      </c>
      <c r="W166">
        <v>0</v>
      </c>
      <c r="X166">
        <v>0.26</v>
      </c>
      <c r="Y166">
        <v>0.6</v>
      </c>
      <c r="Z166">
        <v>0</v>
      </c>
      <c r="AA166">
        <v>0.04</v>
      </c>
      <c r="AB166">
        <v>0</v>
      </c>
      <c r="AC166">
        <v>0</v>
      </c>
      <c r="AD166">
        <v>7</v>
      </c>
      <c r="AE166">
        <v>269.3</v>
      </c>
    </row>
    <row r="167" spans="1:31" x14ac:dyDescent="0.25">
      <c r="A167" t="str">
        <f t="shared" si="5"/>
        <v>B2</v>
      </c>
      <c r="B167">
        <v>2</v>
      </c>
      <c r="C167" s="75" t="s">
        <v>39</v>
      </c>
      <c r="D167" t="s">
        <v>417</v>
      </c>
      <c r="E167" s="78" t="s">
        <v>49</v>
      </c>
      <c r="F167" s="79">
        <v>1015</v>
      </c>
      <c r="G167" s="35">
        <v>12</v>
      </c>
      <c r="H167">
        <v>0.71</v>
      </c>
      <c r="I167">
        <v>4.1500000000000004</v>
      </c>
      <c r="J167">
        <v>5.4</v>
      </c>
      <c r="K167">
        <v>0.30599999999999999</v>
      </c>
      <c r="L167">
        <v>1.3</v>
      </c>
      <c r="M167">
        <v>17.61</v>
      </c>
      <c r="N167">
        <v>236</v>
      </c>
      <c r="O167">
        <v>14.8</v>
      </c>
      <c r="P167">
        <v>73.7</v>
      </c>
      <c r="Q167">
        <v>215</v>
      </c>
      <c r="R167">
        <v>35.799999999999997</v>
      </c>
      <c r="S167">
        <v>57.5</v>
      </c>
      <c r="T167">
        <v>0.8</v>
      </c>
      <c r="U167">
        <v>5.7</v>
      </c>
      <c r="V167">
        <v>0.2</v>
      </c>
      <c r="W167">
        <v>0</v>
      </c>
      <c r="X167">
        <v>0.25</v>
      </c>
      <c r="Y167">
        <v>0.41</v>
      </c>
      <c r="Z167">
        <v>0.01</v>
      </c>
      <c r="AA167">
        <v>0.04</v>
      </c>
      <c r="AB167">
        <v>0</v>
      </c>
      <c r="AC167">
        <v>0</v>
      </c>
      <c r="AD167">
        <v>5.8</v>
      </c>
      <c r="AE167">
        <v>240.1</v>
      </c>
    </row>
    <row r="168" spans="1:31" x14ac:dyDescent="0.25">
      <c r="A168" t="str">
        <f t="shared" si="5"/>
        <v>C2</v>
      </c>
      <c r="B168">
        <v>2</v>
      </c>
      <c r="C168" s="75" t="s">
        <v>43</v>
      </c>
      <c r="D168" t="s">
        <v>417</v>
      </c>
      <c r="E168" s="78" t="s">
        <v>49</v>
      </c>
      <c r="F168" s="79">
        <v>1210</v>
      </c>
      <c r="G168" s="35">
        <v>12</v>
      </c>
      <c r="H168">
        <v>0.95</v>
      </c>
      <c r="I168">
        <v>4.55</v>
      </c>
      <c r="J168">
        <v>6.1</v>
      </c>
      <c r="K168">
        <v>0.33800000000000002</v>
      </c>
      <c r="L168">
        <v>1.34</v>
      </c>
      <c r="M168">
        <v>18.100000000000001</v>
      </c>
      <c r="N168">
        <v>257</v>
      </c>
      <c r="O168">
        <v>12.5</v>
      </c>
      <c r="P168">
        <v>74.2</v>
      </c>
      <c r="Q168">
        <v>210</v>
      </c>
      <c r="R168">
        <v>57.8</v>
      </c>
      <c r="S168">
        <v>39.4</v>
      </c>
      <c r="T168">
        <v>0.2</v>
      </c>
      <c r="U168">
        <v>2.4</v>
      </c>
      <c r="V168">
        <v>0.1</v>
      </c>
      <c r="W168">
        <v>0</v>
      </c>
      <c r="X168">
        <v>0.55000000000000004</v>
      </c>
      <c r="Y168">
        <v>0.37</v>
      </c>
      <c r="Z168">
        <v>0</v>
      </c>
      <c r="AA168">
        <v>0.02</v>
      </c>
      <c r="AB168">
        <v>0</v>
      </c>
      <c r="AC168">
        <v>0</v>
      </c>
      <c r="AD168">
        <v>4</v>
      </c>
      <c r="AE168">
        <v>182.2</v>
      </c>
    </row>
    <row r="169" spans="1:31" x14ac:dyDescent="0.25">
      <c r="A169" t="str">
        <f t="shared" si="5"/>
        <v>D2</v>
      </c>
      <c r="B169">
        <v>2</v>
      </c>
      <c r="C169" s="75" t="s">
        <v>45</v>
      </c>
      <c r="D169" t="s">
        <v>419</v>
      </c>
      <c r="E169" s="78" t="s">
        <v>49</v>
      </c>
      <c r="F169" s="79">
        <v>1041</v>
      </c>
      <c r="G169" s="35">
        <v>12</v>
      </c>
      <c r="H169">
        <v>0.87</v>
      </c>
      <c r="I169">
        <v>2.84</v>
      </c>
      <c r="J169">
        <v>3.8</v>
      </c>
      <c r="K169">
        <v>0.21</v>
      </c>
      <c r="L169">
        <v>1.35</v>
      </c>
      <c r="M169">
        <v>18.239999999999998</v>
      </c>
      <c r="N169">
        <v>202</v>
      </c>
      <c r="O169">
        <v>13.6</v>
      </c>
      <c r="P169">
        <v>74</v>
      </c>
      <c r="Q169">
        <v>203</v>
      </c>
      <c r="R169">
        <v>52.4</v>
      </c>
      <c r="S169">
        <v>42.5</v>
      </c>
      <c r="T169">
        <v>0.1</v>
      </c>
      <c r="U169">
        <v>4.4000000000000004</v>
      </c>
      <c r="V169">
        <v>0.4</v>
      </c>
      <c r="W169">
        <v>0.1</v>
      </c>
      <c r="X169">
        <v>0.46</v>
      </c>
      <c r="Y169">
        <v>0.37</v>
      </c>
      <c r="Z169">
        <v>0</v>
      </c>
      <c r="AA169">
        <v>0.04</v>
      </c>
      <c r="AB169">
        <v>0</v>
      </c>
      <c r="AC169">
        <v>0</v>
      </c>
      <c r="AD169">
        <v>6.7</v>
      </c>
      <c r="AE169">
        <v>189.6</v>
      </c>
    </row>
    <row r="170" spans="1:31" x14ac:dyDescent="0.25">
      <c r="A170" t="str">
        <f t="shared" si="5"/>
        <v>E2</v>
      </c>
      <c r="B170">
        <v>2</v>
      </c>
      <c r="C170" s="75" t="s">
        <v>47</v>
      </c>
      <c r="D170" t="s">
        <v>419</v>
      </c>
      <c r="E170" s="78" t="s">
        <v>49</v>
      </c>
      <c r="F170" s="79">
        <v>1260.5999999999999</v>
      </c>
      <c r="G170" s="35">
        <v>12</v>
      </c>
      <c r="H170">
        <v>0.95</v>
      </c>
      <c r="I170">
        <v>4.2300000000000004</v>
      </c>
      <c r="J170">
        <v>6.1</v>
      </c>
      <c r="K170">
        <v>0.33400000000000002</v>
      </c>
      <c r="L170">
        <v>1.44</v>
      </c>
      <c r="M170">
        <v>18.29</v>
      </c>
      <c r="N170">
        <v>281</v>
      </c>
      <c r="O170">
        <v>11.6</v>
      </c>
      <c r="P170">
        <v>78.900000000000006</v>
      </c>
      <c r="Q170">
        <v>218</v>
      </c>
      <c r="R170">
        <v>49.8</v>
      </c>
      <c r="S170">
        <v>46.2</v>
      </c>
      <c r="T170">
        <v>0</v>
      </c>
      <c r="U170">
        <v>3.7</v>
      </c>
      <c r="V170">
        <v>0.3</v>
      </c>
      <c r="W170">
        <v>0</v>
      </c>
      <c r="X170">
        <v>0.47</v>
      </c>
      <c r="Y170">
        <v>0.44</v>
      </c>
      <c r="Z170">
        <v>0</v>
      </c>
      <c r="AA170">
        <v>0.04</v>
      </c>
      <c r="AB170">
        <v>0</v>
      </c>
      <c r="AC170">
        <v>0</v>
      </c>
      <c r="AD170">
        <v>5.5</v>
      </c>
      <c r="AE170">
        <v>231.9</v>
      </c>
    </row>
    <row r="171" spans="1:31" x14ac:dyDescent="0.25">
      <c r="A171" t="str">
        <f t="shared" si="5"/>
        <v>F2</v>
      </c>
      <c r="B171">
        <v>2</v>
      </c>
      <c r="C171" s="75" t="s">
        <v>49</v>
      </c>
      <c r="D171" t="s">
        <v>418</v>
      </c>
      <c r="E171" s="78" t="s">
        <v>60</v>
      </c>
      <c r="F171" s="79">
        <v>1189</v>
      </c>
      <c r="G171" s="35">
        <v>12</v>
      </c>
      <c r="H171">
        <v>0.48</v>
      </c>
      <c r="I171">
        <v>4.55</v>
      </c>
      <c r="J171">
        <v>6.3</v>
      </c>
      <c r="K171">
        <v>0.38</v>
      </c>
      <c r="L171">
        <v>1.39</v>
      </c>
      <c r="M171">
        <v>16.66</v>
      </c>
      <c r="N171">
        <v>196</v>
      </c>
      <c r="O171">
        <v>16.399999999999999</v>
      </c>
      <c r="P171">
        <v>83.5</v>
      </c>
      <c r="Q171">
        <v>218</v>
      </c>
      <c r="R171">
        <v>54</v>
      </c>
      <c r="S171">
        <v>40.6</v>
      </c>
      <c r="T171">
        <v>1</v>
      </c>
      <c r="U171">
        <v>4.5</v>
      </c>
      <c r="V171">
        <v>0</v>
      </c>
      <c r="W171">
        <v>0</v>
      </c>
      <c r="X171">
        <v>0.26</v>
      </c>
      <c r="Y171">
        <v>0.2</v>
      </c>
      <c r="Z171">
        <v>0</v>
      </c>
      <c r="AA171">
        <v>0.02</v>
      </c>
      <c r="AB171">
        <v>0</v>
      </c>
      <c r="AC171">
        <v>0</v>
      </c>
      <c r="AD171">
        <v>3.4</v>
      </c>
      <c r="AE171">
        <v>153.6</v>
      </c>
    </row>
    <row r="172" spans="1:31" x14ac:dyDescent="0.25">
      <c r="A172" t="str">
        <f t="shared" si="5"/>
        <v>G2</v>
      </c>
      <c r="B172">
        <v>2</v>
      </c>
      <c r="C172" s="75" t="s">
        <v>51</v>
      </c>
      <c r="D172" t="s">
        <v>421</v>
      </c>
      <c r="E172" s="78" t="s">
        <v>49</v>
      </c>
      <c r="F172" s="79">
        <v>1387</v>
      </c>
      <c r="G172" s="35">
        <v>12</v>
      </c>
      <c r="H172">
        <v>2.76</v>
      </c>
      <c r="I172">
        <v>4.8499999999999996</v>
      </c>
      <c r="J172">
        <v>6.5</v>
      </c>
      <c r="K172">
        <v>0.376</v>
      </c>
      <c r="L172">
        <v>1.34</v>
      </c>
      <c r="M172">
        <v>17.329999999999998</v>
      </c>
      <c r="N172">
        <v>318</v>
      </c>
      <c r="O172">
        <v>12.5</v>
      </c>
      <c r="P172">
        <v>77.5</v>
      </c>
      <c r="Q172">
        <v>222</v>
      </c>
      <c r="R172">
        <v>38.799999999999997</v>
      </c>
      <c r="S172">
        <v>59.2</v>
      </c>
      <c r="T172">
        <v>1</v>
      </c>
      <c r="U172">
        <v>0.8</v>
      </c>
      <c r="V172">
        <v>0</v>
      </c>
      <c r="W172">
        <v>0.1</v>
      </c>
      <c r="X172">
        <v>1.07</v>
      </c>
      <c r="Y172">
        <v>1.63</v>
      </c>
      <c r="Z172">
        <v>0.03</v>
      </c>
      <c r="AA172">
        <v>0.02</v>
      </c>
      <c r="AB172">
        <v>0</v>
      </c>
      <c r="AC172">
        <v>0</v>
      </c>
      <c r="AD172">
        <v>4.9000000000000004</v>
      </c>
      <c r="AE172">
        <v>235.7</v>
      </c>
    </row>
    <row r="173" spans="1:31" x14ac:dyDescent="0.25">
      <c r="A173" t="str">
        <f t="shared" si="5"/>
        <v>H2</v>
      </c>
      <c r="B173">
        <v>2</v>
      </c>
      <c r="C173" s="75" t="s">
        <v>53</v>
      </c>
      <c r="D173" t="s">
        <v>418</v>
      </c>
      <c r="E173" s="78" t="s">
        <v>60</v>
      </c>
      <c r="F173" s="79">
        <v>1243</v>
      </c>
      <c r="G173" s="35">
        <v>12</v>
      </c>
    </row>
    <row r="174" spans="1:31" x14ac:dyDescent="0.25">
      <c r="A174" t="str">
        <f t="shared" si="5"/>
        <v>I2</v>
      </c>
      <c r="B174">
        <v>2</v>
      </c>
      <c r="C174" s="75" t="s">
        <v>56</v>
      </c>
      <c r="D174" t="s">
        <v>421</v>
      </c>
      <c r="E174" s="78" t="s">
        <v>60</v>
      </c>
      <c r="F174" s="79">
        <v>1015.2</v>
      </c>
      <c r="G174" s="35">
        <v>12</v>
      </c>
      <c r="H174">
        <v>2.2200000000000002</v>
      </c>
      <c r="I174">
        <v>4.66</v>
      </c>
      <c r="J174">
        <v>6</v>
      </c>
      <c r="K174">
        <v>0.34599999999999997</v>
      </c>
      <c r="L174">
        <v>1.3</v>
      </c>
      <c r="M174">
        <v>17.48</v>
      </c>
      <c r="N174">
        <v>337</v>
      </c>
      <c r="O174">
        <v>12</v>
      </c>
      <c r="P174">
        <v>74.2</v>
      </c>
      <c r="Q174">
        <v>214</v>
      </c>
      <c r="R174">
        <v>37.9</v>
      </c>
      <c r="S174">
        <v>60.3</v>
      </c>
      <c r="T174">
        <v>1</v>
      </c>
      <c r="U174">
        <v>0.7</v>
      </c>
      <c r="V174">
        <v>0.1</v>
      </c>
      <c r="W174">
        <v>0</v>
      </c>
      <c r="X174">
        <v>0.84</v>
      </c>
      <c r="Y174">
        <v>1.34</v>
      </c>
      <c r="Z174">
        <v>0.02</v>
      </c>
      <c r="AA174">
        <v>0.01</v>
      </c>
      <c r="AB174">
        <v>0</v>
      </c>
      <c r="AC174">
        <v>0</v>
      </c>
      <c r="AD174">
        <v>5.7</v>
      </c>
      <c r="AE174">
        <v>268.10000000000002</v>
      </c>
    </row>
    <row r="175" spans="1:31" x14ac:dyDescent="0.25">
      <c r="A175" t="str">
        <f t="shared" si="5"/>
        <v>J2</v>
      </c>
      <c r="B175">
        <v>2</v>
      </c>
      <c r="C175" s="75" t="s">
        <v>80</v>
      </c>
      <c r="D175" t="s">
        <v>417</v>
      </c>
      <c r="E175" s="78" t="s">
        <v>49</v>
      </c>
      <c r="F175" s="79">
        <v>678</v>
      </c>
      <c r="G175" s="35">
        <v>12</v>
      </c>
      <c r="H175">
        <v>0.8</v>
      </c>
      <c r="I175">
        <v>3.95</v>
      </c>
      <c r="J175">
        <v>5.5</v>
      </c>
      <c r="K175">
        <v>0.30299999999999999</v>
      </c>
      <c r="L175">
        <v>1.39</v>
      </c>
      <c r="M175">
        <v>18.100000000000001</v>
      </c>
      <c r="N175">
        <v>238</v>
      </c>
      <c r="O175">
        <v>11.4</v>
      </c>
      <c r="P175">
        <v>76.8</v>
      </c>
      <c r="Q175">
        <v>210</v>
      </c>
      <c r="R175">
        <v>30.6</v>
      </c>
      <c r="S175">
        <v>64.5</v>
      </c>
      <c r="T175">
        <v>0.2</v>
      </c>
      <c r="U175">
        <v>4.5999999999999996</v>
      </c>
      <c r="V175">
        <v>0.2</v>
      </c>
      <c r="W175">
        <v>0</v>
      </c>
      <c r="X175">
        <v>0.24</v>
      </c>
      <c r="Y175">
        <v>0.51</v>
      </c>
      <c r="Z175">
        <v>0</v>
      </c>
      <c r="AA175">
        <v>0.04</v>
      </c>
      <c r="AB175">
        <v>0</v>
      </c>
      <c r="AC175">
        <v>0</v>
      </c>
      <c r="AD175">
        <v>5.4</v>
      </c>
      <c r="AE175">
        <v>212.9</v>
      </c>
    </row>
    <row r="176" spans="1:31" s="47" customFormat="1" x14ac:dyDescent="0.25">
      <c r="A176" t="str">
        <f t="shared" si="5"/>
        <v>K2</v>
      </c>
      <c r="B176">
        <v>2</v>
      </c>
      <c r="C176" s="75" t="s">
        <v>82</v>
      </c>
      <c r="D176" t="s">
        <v>419</v>
      </c>
      <c r="E176" s="78" t="s">
        <v>60</v>
      </c>
      <c r="F176" s="79">
        <v>1405</v>
      </c>
      <c r="G176" s="35">
        <v>12</v>
      </c>
      <c r="H176">
        <v>0.83</v>
      </c>
      <c r="I176">
        <v>3.91</v>
      </c>
      <c r="J176">
        <v>5.6</v>
      </c>
      <c r="K176">
        <v>0.30499999999999999</v>
      </c>
      <c r="L176">
        <v>1.42</v>
      </c>
      <c r="M176">
        <v>18.239999999999998</v>
      </c>
      <c r="N176">
        <v>255</v>
      </c>
      <c r="O176">
        <v>11.6</v>
      </c>
      <c r="P176">
        <v>78</v>
      </c>
      <c r="Q176">
        <v>212</v>
      </c>
      <c r="R176">
        <v>24.1</v>
      </c>
      <c r="S176">
        <v>69</v>
      </c>
      <c r="T176">
        <v>0</v>
      </c>
      <c r="U176">
        <v>6.7</v>
      </c>
      <c r="V176">
        <v>0.2</v>
      </c>
      <c r="W176">
        <v>0</v>
      </c>
      <c r="X176">
        <v>0.2</v>
      </c>
      <c r="Y176">
        <v>0.57999999999999996</v>
      </c>
      <c r="Z176">
        <v>0</v>
      </c>
      <c r="AA176">
        <v>0.06</v>
      </c>
      <c r="AB176">
        <v>0</v>
      </c>
      <c r="AC176">
        <v>0</v>
      </c>
      <c r="AD176">
        <v>5.8</v>
      </c>
      <c r="AE176">
        <v>226.2</v>
      </c>
    </row>
    <row r="177" spans="1:31" x14ac:dyDescent="0.25">
      <c r="A177" t="str">
        <f t="shared" si="5"/>
        <v>L2</v>
      </c>
      <c r="B177">
        <v>2</v>
      </c>
      <c r="C177" s="75" t="s">
        <v>58</v>
      </c>
      <c r="D177" t="s">
        <v>420</v>
      </c>
      <c r="E177" s="78" t="s">
        <v>60</v>
      </c>
      <c r="F177" s="79">
        <v>1202.8</v>
      </c>
      <c r="G177" s="35">
        <v>12</v>
      </c>
      <c r="H177">
        <v>3.28</v>
      </c>
      <c r="I177">
        <v>4.5</v>
      </c>
      <c r="J177">
        <v>6.8</v>
      </c>
      <c r="K177">
        <v>0.36399999999999999</v>
      </c>
      <c r="L177">
        <v>1.51</v>
      </c>
      <c r="M177">
        <v>18.690000000000001</v>
      </c>
      <c r="N177">
        <v>378</v>
      </c>
      <c r="O177">
        <v>10.9</v>
      </c>
      <c r="P177">
        <v>80.900000000000006</v>
      </c>
      <c r="Q177">
        <v>220</v>
      </c>
      <c r="R177">
        <v>36.200000000000003</v>
      </c>
      <c r="S177">
        <v>61</v>
      </c>
      <c r="T177">
        <v>1.2</v>
      </c>
      <c r="U177">
        <v>1.5</v>
      </c>
      <c r="V177">
        <v>0.1</v>
      </c>
      <c r="W177">
        <v>0</v>
      </c>
      <c r="X177">
        <v>1.19</v>
      </c>
      <c r="Y177">
        <v>2</v>
      </c>
      <c r="Z177">
        <v>0.04</v>
      </c>
      <c r="AA177">
        <v>0.05</v>
      </c>
      <c r="AB177">
        <v>0</v>
      </c>
      <c r="AC177">
        <v>0</v>
      </c>
      <c r="AD177">
        <v>5.8</v>
      </c>
      <c r="AE177">
        <v>259.10000000000002</v>
      </c>
    </row>
    <row r="178" spans="1:31" x14ac:dyDescent="0.25">
      <c r="A178" t="str">
        <f t="shared" si="5"/>
        <v>M2</v>
      </c>
      <c r="B178">
        <v>2</v>
      </c>
      <c r="C178" s="75" t="s">
        <v>60</v>
      </c>
      <c r="D178" t="s">
        <v>417</v>
      </c>
      <c r="E178" s="78" t="s">
        <v>60</v>
      </c>
      <c r="F178" s="79">
        <v>1261</v>
      </c>
      <c r="G178" s="35">
        <v>12</v>
      </c>
      <c r="H178">
        <v>0.69</v>
      </c>
      <c r="I178">
        <v>4.17</v>
      </c>
      <c r="J178">
        <v>6</v>
      </c>
      <c r="K178">
        <v>0.32</v>
      </c>
      <c r="L178">
        <v>1.44</v>
      </c>
      <c r="M178">
        <v>18.75</v>
      </c>
      <c r="N178">
        <v>239</v>
      </c>
      <c r="O178">
        <v>13.2</v>
      </c>
      <c r="P178">
        <v>76.7</v>
      </c>
      <c r="Q178">
        <v>221</v>
      </c>
      <c r="R178">
        <v>23.5</v>
      </c>
      <c r="S178">
        <v>72.5</v>
      </c>
      <c r="T178">
        <v>0.4</v>
      </c>
      <c r="U178">
        <v>3.5</v>
      </c>
      <c r="V178">
        <v>0.2</v>
      </c>
      <c r="W178">
        <v>0</v>
      </c>
      <c r="X178">
        <v>0.16</v>
      </c>
      <c r="Y178">
        <v>0.5</v>
      </c>
      <c r="Z178">
        <v>0</v>
      </c>
      <c r="AA178">
        <v>0.02</v>
      </c>
      <c r="AB178">
        <v>0</v>
      </c>
      <c r="AC178">
        <v>0</v>
      </c>
      <c r="AD178">
        <v>4.4000000000000004</v>
      </c>
      <c r="AE178">
        <v>181.7</v>
      </c>
    </row>
    <row r="179" spans="1:31" x14ac:dyDescent="0.25">
      <c r="A179" t="str">
        <f t="shared" si="5"/>
        <v>N2</v>
      </c>
      <c r="B179">
        <v>2</v>
      </c>
      <c r="C179" s="75" t="s">
        <v>62</v>
      </c>
      <c r="D179" t="s">
        <v>418</v>
      </c>
      <c r="E179" s="78" t="s">
        <v>60</v>
      </c>
      <c r="F179" s="79">
        <v>791</v>
      </c>
      <c r="G179" s="35">
        <v>12</v>
      </c>
      <c r="H179">
        <v>0.79</v>
      </c>
      <c r="I179">
        <v>3.9</v>
      </c>
      <c r="J179">
        <v>6.3</v>
      </c>
      <c r="K179">
        <v>0.35</v>
      </c>
      <c r="L179">
        <v>1.62</v>
      </c>
      <c r="M179">
        <v>18.03</v>
      </c>
      <c r="N179">
        <v>141</v>
      </c>
      <c r="O179">
        <v>12.5</v>
      </c>
      <c r="P179">
        <v>89.6</v>
      </c>
      <c r="Q179">
        <v>206</v>
      </c>
      <c r="R179">
        <v>14.9</v>
      </c>
      <c r="S179">
        <v>80.599999999999994</v>
      </c>
      <c r="T179">
        <v>0.5</v>
      </c>
      <c r="U179">
        <v>1.8</v>
      </c>
      <c r="V179">
        <v>2.1</v>
      </c>
      <c r="W179">
        <v>0</v>
      </c>
      <c r="X179">
        <v>0.12</v>
      </c>
      <c r="Y179">
        <v>0.64</v>
      </c>
      <c r="Z179">
        <v>0</v>
      </c>
      <c r="AA179">
        <v>0.01</v>
      </c>
      <c r="AB179">
        <v>0.02</v>
      </c>
      <c r="AC179">
        <v>0</v>
      </c>
      <c r="AD179">
        <v>7.2</v>
      </c>
      <c r="AE179">
        <v>280.7</v>
      </c>
    </row>
    <row r="180" spans="1:31" x14ac:dyDescent="0.25">
      <c r="A180" t="str">
        <f t="shared" si="5"/>
        <v>O2</v>
      </c>
      <c r="B180">
        <v>2</v>
      </c>
      <c r="C180" s="75" t="s">
        <v>64</v>
      </c>
      <c r="D180" t="s">
        <v>420</v>
      </c>
      <c r="E180" s="78" t="s">
        <v>60</v>
      </c>
      <c r="F180" s="79">
        <v>1031</v>
      </c>
      <c r="G180" s="35">
        <v>12</v>
      </c>
      <c r="H180">
        <v>3.26</v>
      </c>
      <c r="I180">
        <v>4</v>
      </c>
      <c r="J180">
        <v>5.6</v>
      </c>
      <c r="K180">
        <v>0.3</v>
      </c>
      <c r="L180">
        <v>1.4</v>
      </c>
      <c r="M180">
        <v>18.670000000000002</v>
      </c>
      <c r="N180">
        <v>315</v>
      </c>
      <c r="O180">
        <v>12.3</v>
      </c>
      <c r="P180">
        <v>74.900000000000006</v>
      </c>
      <c r="Q180">
        <v>210</v>
      </c>
      <c r="R180">
        <v>34.799999999999997</v>
      </c>
      <c r="S180">
        <v>62</v>
      </c>
      <c r="T180">
        <v>0.7</v>
      </c>
      <c r="U180">
        <v>2.2999999999999998</v>
      </c>
      <c r="V180">
        <v>0</v>
      </c>
      <c r="W180">
        <v>0.2</v>
      </c>
      <c r="X180">
        <v>1.1399999999999999</v>
      </c>
      <c r="Y180">
        <v>2.02</v>
      </c>
      <c r="Z180">
        <v>0.02</v>
      </c>
      <c r="AA180">
        <v>0.08</v>
      </c>
      <c r="AB180">
        <v>0</v>
      </c>
      <c r="AC180">
        <v>0.01</v>
      </c>
      <c r="AD180">
        <v>6.2</v>
      </c>
      <c r="AE180">
        <v>246.3</v>
      </c>
    </row>
    <row r="181" spans="1:31" x14ac:dyDescent="0.25">
      <c r="A181" t="str">
        <f t="shared" si="5"/>
        <v>P2</v>
      </c>
      <c r="B181">
        <v>2</v>
      </c>
      <c r="C181" s="75" t="s">
        <v>66</v>
      </c>
      <c r="D181" t="s">
        <v>417</v>
      </c>
      <c r="E181" s="78" t="s">
        <v>49</v>
      </c>
      <c r="F181" s="79">
        <v>1098.7</v>
      </c>
      <c r="G181" s="35">
        <v>12</v>
      </c>
      <c r="H181">
        <v>1.32</v>
      </c>
      <c r="I181">
        <v>4.21</v>
      </c>
      <c r="J181">
        <v>6.1</v>
      </c>
      <c r="K181">
        <v>0.33100000000000002</v>
      </c>
      <c r="L181">
        <v>1.44</v>
      </c>
      <c r="M181">
        <v>18.38</v>
      </c>
      <c r="N181">
        <v>286</v>
      </c>
      <c r="O181">
        <v>11.7</v>
      </c>
      <c r="P181">
        <v>78.5</v>
      </c>
      <c r="Q181">
        <v>206</v>
      </c>
      <c r="R181">
        <v>71.3</v>
      </c>
      <c r="S181">
        <v>26.7</v>
      </c>
      <c r="T181">
        <v>0.1</v>
      </c>
      <c r="U181">
        <v>1.8</v>
      </c>
      <c r="V181">
        <v>0.1</v>
      </c>
      <c r="W181">
        <v>0</v>
      </c>
      <c r="X181">
        <v>0.94</v>
      </c>
      <c r="Y181">
        <v>0.35</v>
      </c>
      <c r="Z181">
        <v>0</v>
      </c>
      <c r="AA181">
        <v>0.02</v>
      </c>
      <c r="AB181">
        <v>0</v>
      </c>
      <c r="AC181">
        <v>0</v>
      </c>
      <c r="AD181">
        <v>5.2</v>
      </c>
      <c r="AE181">
        <v>217.6</v>
      </c>
    </row>
    <row r="182" spans="1:31" x14ac:dyDescent="0.25">
      <c r="A182" t="str">
        <f t="shared" si="5"/>
        <v>Q2</v>
      </c>
      <c r="B182">
        <v>2</v>
      </c>
      <c r="C182" s="75" t="s">
        <v>385</v>
      </c>
      <c r="D182" t="s">
        <v>418</v>
      </c>
      <c r="E182" s="78" t="s">
        <v>49</v>
      </c>
      <c r="F182" s="79">
        <v>793.5</v>
      </c>
      <c r="G182" s="35">
        <v>12</v>
      </c>
      <c r="H182">
        <v>0.75</v>
      </c>
      <c r="I182">
        <v>3.66</v>
      </c>
      <c r="J182">
        <v>4.7</v>
      </c>
      <c r="K182">
        <v>0.26400000000000001</v>
      </c>
      <c r="L182">
        <v>1.29</v>
      </c>
      <c r="M182">
        <v>17.88</v>
      </c>
      <c r="N182">
        <v>228</v>
      </c>
      <c r="O182">
        <v>13.3</v>
      </c>
      <c r="P182">
        <v>72.2</v>
      </c>
      <c r="Q182">
        <v>212</v>
      </c>
      <c r="R182">
        <v>55.8</v>
      </c>
      <c r="S182">
        <v>36.700000000000003</v>
      </c>
      <c r="T182">
        <v>0.2</v>
      </c>
      <c r="U182">
        <v>7</v>
      </c>
      <c r="V182">
        <v>0.3</v>
      </c>
      <c r="W182">
        <v>0</v>
      </c>
      <c r="X182">
        <v>0.42</v>
      </c>
      <c r="Y182">
        <v>0.27</v>
      </c>
      <c r="Z182">
        <v>0</v>
      </c>
      <c r="AA182">
        <v>0.05</v>
      </c>
      <c r="AB182">
        <v>0</v>
      </c>
      <c r="AC182">
        <v>0</v>
      </c>
      <c r="AD182">
        <v>4.4000000000000004</v>
      </c>
      <c r="AE182">
        <v>160.19999999999999</v>
      </c>
    </row>
    <row r="183" spans="1:31" x14ac:dyDescent="0.25">
      <c r="A183" t="str">
        <f t="shared" si="5"/>
        <v>R2</v>
      </c>
      <c r="B183">
        <v>2</v>
      </c>
      <c r="C183" s="75" t="s">
        <v>68</v>
      </c>
      <c r="D183" t="s">
        <v>418</v>
      </c>
      <c r="E183" s="78" t="s">
        <v>49</v>
      </c>
      <c r="F183" s="79">
        <v>1303</v>
      </c>
      <c r="G183" s="35">
        <v>12</v>
      </c>
      <c r="H183">
        <v>1.24</v>
      </c>
      <c r="I183">
        <v>4.17</v>
      </c>
      <c r="J183">
        <v>6.1</v>
      </c>
      <c r="K183">
        <v>0.33500000000000002</v>
      </c>
      <c r="L183">
        <v>1.46</v>
      </c>
      <c r="M183">
        <v>18.149999999999999</v>
      </c>
      <c r="N183">
        <v>151</v>
      </c>
      <c r="O183">
        <v>11.2</v>
      </c>
      <c r="P183">
        <v>80.400000000000006</v>
      </c>
      <c r="Q183">
        <v>209</v>
      </c>
      <c r="R183">
        <v>32.6</v>
      </c>
      <c r="S183">
        <v>60.4</v>
      </c>
      <c r="T183">
        <v>0.2</v>
      </c>
      <c r="U183">
        <v>5.9</v>
      </c>
      <c r="V183">
        <v>0.8</v>
      </c>
      <c r="W183">
        <v>0</v>
      </c>
      <c r="X183">
        <v>0.4</v>
      </c>
      <c r="Y183">
        <v>0.75</v>
      </c>
      <c r="Z183">
        <v>0</v>
      </c>
      <c r="AA183">
        <v>7.0000000000000007E-2</v>
      </c>
      <c r="AB183">
        <v>0.01</v>
      </c>
      <c r="AC183">
        <v>0</v>
      </c>
      <c r="AD183">
        <v>5.0999999999999996</v>
      </c>
      <c r="AE183">
        <v>210.7</v>
      </c>
    </row>
    <row r="184" spans="1:31" x14ac:dyDescent="0.25">
      <c r="A184" t="str">
        <f t="shared" si="5"/>
        <v>S2</v>
      </c>
      <c r="B184">
        <v>2</v>
      </c>
      <c r="C184" s="75" t="s">
        <v>70</v>
      </c>
      <c r="D184" t="s">
        <v>417</v>
      </c>
      <c r="E184" s="78" t="s">
        <v>60</v>
      </c>
      <c r="F184" s="79">
        <v>1327</v>
      </c>
      <c r="G184" s="35">
        <v>12</v>
      </c>
      <c r="H184">
        <v>1.1200000000000001</v>
      </c>
      <c r="I184">
        <v>3.82</v>
      </c>
      <c r="J184">
        <v>5.8</v>
      </c>
      <c r="K184">
        <v>0.315</v>
      </c>
      <c r="L184">
        <v>1.51</v>
      </c>
      <c r="M184">
        <v>18.25</v>
      </c>
      <c r="N184">
        <v>209</v>
      </c>
      <c r="O184">
        <v>12.2</v>
      </c>
      <c r="P184">
        <v>82.6</v>
      </c>
      <c r="Q184">
        <v>208</v>
      </c>
      <c r="R184">
        <v>12.2</v>
      </c>
      <c r="S184">
        <v>85.2</v>
      </c>
      <c r="T184">
        <v>0</v>
      </c>
      <c r="U184">
        <v>2.2999999999999998</v>
      </c>
      <c r="V184">
        <v>0.3</v>
      </c>
      <c r="W184">
        <v>0</v>
      </c>
      <c r="X184">
        <v>0.14000000000000001</v>
      </c>
      <c r="Y184">
        <v>0.96</v>
      </c>
      <c r="Z184">
        <v>0</v>
      </c>
      <c r="AA184">
        <v>0.03</v>
      </c>
      <c r="AB184">
        <v>0</v>
      </c>
      <c r="AC184">
        <v>0</v>
      </c>
      <c r="AD184">
        <v>5.2</v>
      </c>
      <c r="AE184">
        <v>197.7</v>
      </c>
    </row>
    <row r="185" spans="1:31" x14ac:dyDescent="0.25">
      <c r="A185" t="str">
        <f t="shared" si="5"/>
        <v>T2</v>
      </c>
      <c r="B185">
        <v>2</v>
      </c>
      <c r="C185" s="75" t="s">
        <v>386</v>
      </c>
      <c r="D185" t="s">
        <v>421</v>
      </c>
      <c r="E185" s="78" t="s">
        <v>60</v>
      </c>
      <c r="F185" s="79">
        <v>1193</v>
      </c>
      <c r="G185" s="35">
        <v>12</v>
      </c>
      <c r="H185">
        <v>2.27</v>
      </c>
      <c r="I185">
        <v>4.62</v>
      </c>
      <c r="J185">
        <v>5.8</v>
      </c>
      <c r="K185">
        <v>0.34699999999999998</v>
      </c>
      <c r="L185">
        <v>1.27</v>
      </c>
      <c r="M185">
        <v>16.88</v>
      </c>
      <c r="N185">
        <v>289</v>
      </c>
      <c r="O185">
        <v>15.8</v>
      </c>
      <c r="P185">
        <v>75</v>
      </c>
      <c r="Q185">
        <v>219</v>
      </c>
      <c r="R185">
        <v>49.7</v>
      </c>
      <c r="S185">
        <v>48</v>
      </c>
      <c r="T185">
        <v>0.9</v>
      </c>
      <c r="U185">
        <v>1.3</v>
      </c>
      <c r="V185">
        <v>0</v>
      </c>
      <c r="W185">
        <v>0.1</v>
      </c>
      <c r="X185">
        <v>1.1299999999999999</v>
      </c>
      <c r="Y185">
        <v>1.0900000000000001</v>
      </c>
      <c r="Z185">
        <v>0.02</v>
      </c>
      <c r="AA185">
        <v>0.03</v>
      </c>
      <c r="AB185">
        <v>0</v>
      </c>
      <c r="AC185">
        <v>0</v>
      </c>
      <c r="AD185">
        <v>5.0999999999999996</v>
      </c>
      <c r="AE185">
        <v>236.2</v>
      </c>
    </row>
    <row r="186" spans="1:31" x14ac:dyDescent="0.25">
      <c r="A186" t="str">
        <f t="shared" si="5"/>
        <v>U2</v>
      </c>
      <c r="B186">
        <v>2</v>
      </c>
      <c r="C186" s="75" t="s">
        <v>388</v>
      </c>
      <c r="D186" t="s">
        <v>419</v>
      </c>
      <c r="E186" s="78" t="s">
        <v>60</v>
      </c>
      <c r="F186" s="79">
        <v>741.5</v>
      </c>
      <c r="G186" s="35">
        <v>12</v>
      </c>
      <c r="H186">
        <v>0.81</v>
      </c>
      <c r="I186">
        <v>3.3</v>
      </c>
      <c r="J186">
        <v>4.7</v>
      </c>
      <c r="K186">
        <v>0.255</v>
      </c>
      <c r="L186">
        <v>1.42</v>
      </c>
      <c r="M186">
        <v>18.36</v>
      </c>
      <c r="N186">
        <v>258</v>
      </c>
      <c r="O186">
        <v>12.8</v>
      </c>
      <c r="P186">
        <v>77.099999999999994</v>
      </c>
      <c r="Q186">
        <v>210</v>
      </c>
      <c r="R186">
        <v>14.9</v>
      </c>
      <c r="S186">
        <v>79.099999999999994</v>
      </c>
      <c r="T186">
        <v>1.5</v>
      </c>
      <c r="U186">
        <v>4.3</v>
      </c>
      <c r="V186">
        <v>0.2</v>
      </c>
      <c r="W186">
        <v>0</v>
      </c>
      <c r="X186">
        <v>0.12</v>
      </c>
      <c r="Y186">
        <v>0.64</v>
      </c>
      <c r="Z186">
        <v>0.01</v>
      </c>
      <c r="AA186">
        <v>0.03</v>
      </c>
      <c r="AB186">
        <v>0</v>
      </c>
      <c r="AC186">
        <v>0</v>
      </c>
      <c r="AD186">
        <v>5.7</v>
      </c>
      <c r="AE186">
        <v>187</v>
      </c>
    </row>
    <row r="187" spans="1:31" x14ac:dyDescent="0.25">
      <c r="A187" t="str">
        <f t="shared" si="5"/>
        <v>V2</v>
      </c>
      <c r="B187">
        <v>2</v>
      </c>
      <c r="C187" s="75" t="s">
        <v>389</v>
      </c>
      <c r="D187" t="s">
        <v>419</v>
      </c>
      <c r="E187" s="78" t="s">
        <v>60</v>
      </c>
      <c r="F187" s="79">
        <v>1281</v>
      </c>
      <c r="G187" s="35">
        <v>12</v>
      </c>
      <c r="H187">
        <v>1.05</v>
      </c>
      <c r="I187">
        <v>3.12</v>
      </c>
      <c r="J187">
        <v>4.2</v>
      </c>
      <c r="K187">
        <v>0.23200000000000001</v>
      </c>
      <c r="L187">
        <v>1.34</v>
      </c>
      <c r="M187">
        <v>17.97</v>
      </c>
      <c r="N187">
        <v>218</v>
      </c>
      <c r="O187">
        <v>13.6</v>
      </c>
      <c r="P187">
        <v>74.5</v>
      </c>
      <c r="Q187">
        <v>203</v>
      </c>
      <c r="R187">
        <v>25.3</v>
      </c>
      <c r="S187">
        <v>70.099999999999994</v>
      </c>
      <c r="T187">
        <v>0.9</v>
      </c>
      <c r="U187">
        <v>3.7</v>
      </c>
      <c r="V187">
        <v>0</v>
      </c>
      <c r="W187">
        <v>0</v>
      </c>
      <c r="X187">
        <v>0.27</v>
      </c>
      <c r="Y187">
        <v>0.74</v>
      </c>
      <c r="Z187">
        <v>0.01</v>
      </c>
      <c r="AA187">
        <v>0.04</v>
      </c>
      <c r="AB187">
        <v>0</v>
      </c>
      <c r="AC187">
        <v>0</v>
      </c>
      <c r="AD187">
        <v>5.0999999999999996</v>
      </c>
      <c r="AE187">
        <v>159.9</v>
      </c>
    </row>
    <row r="188" spans="1:31" x14ac:dyDescent="0.25">
      <c r="A188" t="str">
        <f t="shared" si="5"/>
        <v>X2</v>
      </c>
      <c r="B188">
        <v>2</v>
      </c>
      <c r="C188" s="75" t="s">
        <v>390</v>
      </c>
      <c r="D188" t="s">
        <v>419</v>
      </c>
      <c r="E188" s="78" t="s">
        <v>60</v>
      </c>
      <c r="F188" s="79">
        <v>1111</v>
      </c>
      <c r="G188" s="35">
        <v>12</v>
      </c>
      <c r="H188">
        <v>1.1299999999999999</v>
      </c>
      <c r="I188">
        <v>3.49</v>
      </c>
      <c r="J188">
        <v>4.7</v>
      </c>
      <c r="K188">
        <v>0.251</v>
      </c>
      <c r="L188">
        <v>1.36</v>
      </c>
      <c r="M188">
        <v>18.84</v>
      </c>
      <c r="N188">
        <v>281</v>
      </c>
      <c r="O188">
        <v>13.9</v>
      </c>
      <c r="P188">
        <v>71.900000000000006</v>
      </c>
      <c r="Q188">
        <v>211</v>
      </c>
      <c r="R188">
        <v>15.5</v>
      </c>
      <c r="S188">
        <v>78.400000000000006</v>
      </c>
      <c r="T188">
        <v>0</v>
      </c>
      <c r="U188">
        <v>5.9</v>
      </c>
      <c r="V188">
        <v>0.1</v>
      </c>
      <c r="W188">
        <v>0</v>
      </c>
      <c r="X188">
        <v>0.18</v>
      </c>
      <c r="Y188">
        <v>0.89</v>
      </c>
      <c r="Z188">
        <v>0</v>
      </c>
      <c r="AA188">
        <v>7.0000000000000007E-2</v>
      </c>
      <c r="AB188">
        <v>0</v>
      </c>
      <c r="AC188">
        <v>0</v>
      </c>
      <c r="AD188">
        <v>5.0999999999999996</v>
      </c>
      <c r="AE188">
        <v>176.6</v>
      </c>
    </row>
    <row r="189" spans="1:31" x14ac:dyDescent="0.25">
      <c r="A189" t="str">
        <f t="shared" si="5"/>
        <v>Y2</v>
      </c>
      <c r="B189">
        <v>2</v>
      </c>
      <c r="C189" s="75" t="s">
        <v>384</v>
      </c>
      <c r="D189" t="s">
        <v>418</v>
      </c>
      <c r="E189" s="78" t="s">
        <v>60</v>
      </c>
      <c r="F189" s="79">
        <v>1340.4</v>
      </c>
      <c r="G189" s="35">
        <v>12</v>
      </c>
      <c r="H189">
        <v>0.39</v>
      </c>
      <c r="I189">
        <v>4.08</v>
      </c>
      <c r="J189">
        <v>5.5</v>
      </c>
      <c r="K189">
        <v>0.315</v>
      </c>
      <c r="L189">
        <v>1.34</v>
      </c>
      <c r="M189">
        <v>17.329999999999998</v>
      </c>
      <c r="N189">
        <v>196</v>
      </c>
      <c r="O189">
        <v>13.6</v>
      </c>
      <c r="P189">
        <v>77.2</v>
      </c>
      <c r="Q189">
        <v>211</v>
      </c>
      <c r="R189">
        <v>29.7</v>
      </c>
      <c r="S189">
        <v>67.8</v>
      </c>
      <c r="T189">
        <v>0</v>
      </c>
      <c r="U189">
        <v>2.5</v>
      </c>
      <c r="V189">
        <v>0</v>
      </c>
      <c r="W189">
        <v>0</v>
      </c>
      <c r="X189">
        <v>0.12</v>
      </c>
      <c r="Y189">
        <v>0.27</v>
      </c>
      <c r="Z189">
        <v>0</v>
      </c>
      <c r="AA189">
        <v>0.01</v>
      </c>
      <c r="AB189">
        <v>0</v>
      </c>
      <c r="AC189">
        <v>0</v>
      </c>
      <c r="AD189">
        <v>4.4000000000000004</v>
      </c>
      <c r="AE189">
        <v>178.9</v>
      </c>
    </row>
    <row r="190" spans="1:31" x14ac:dyDescent="0.25">
      <c r="A190" t="str">
        <f t="shared" si="5"/>
        <v>Z2</v>
      </c>
      <c r="B190">
        <v>2</v>
      </c>
      <c r="C190" s="48" t="s">
        <v>387</v>
      </c>
      <c r="D190" t="s">
        <v>417</v>
      </c>
      <c r="E190" s="35" t="s">
        <v>49</v>
      </c>
      <c r="F190" s="35">
        <v>1270</v>
      </c>
      <c r="G190" s="35">
        <v>12</v>
      </c>
      <c r="H190">
        <v>1.18</v>
      </c>
      <c r="I190">
        <v>3.96</v>
      </c>
      <c r="J190">
        <v>6</v>
      </c>
      <c r="K190">
        <v>0.33200000000000002</v>
      </c>
      <c r="L190">
        <v>1.51</v>
      </c>
      <c r="M190">
        <v>17.96</v>
      </c>
      <c r="N190">
        <v>244</v>
      </c>
      <c r="O190">
        <v>13.3</v>
      </c>
      <c r="P190">
        <v>83.9</v>
      </c>
      <c r="Q190">
        <v>188</v>
      </c>
      <c r="R190">
        <v>37.200000000000003</v>
      </c>
      <c r="S190">
        <v>59.8</v>
      </c>
      <c r="T190">
        <v>0.2</v>
      </c>
      <c r="U190">
        <v>2.8</v>
      </c>
      <c r="V190">
        <v>0</v>
      </c>
      <c r="W190">
        <v>0</v>
      </c>
      <c r="X190">
        <v>0.44</v>
      </c>
      <c r="Y190">
        <v>0.71</v>
      </c>
      <c r="Z190">
        <v>0</v>
      </c>
      <c r="AA190">
        <v>0.03</v>
      </c>
      <c r="AB190">
        <v>0</v>
      </c>
      <c r="AC190">
        <v>0</v>
      </c>
      <c r="AD190">
        <v>4.3</v>
      </c>
      <c r="AE190">
        <v>171.2</v>
      </c>
    </row>
    <row r="191" spans="1:31" x14ac:dyDescent="0.25">
      <c r="A191" t="str">
        <f t="shared" si="5"/>
        <v>Æ2</v>
      </c>
      <c r="B191">
        <v>2</v>
      </c>
      <c r="C191" s="48" t="s">
        <v>202</v>
      </c>
      <c r="D191" t="s">
        <v>417</v>
      </c>
      <c r="E191" s="35" t="s">
        <v>60</v>
      </c>
      <c r="F191" s="35">
        <v>1180.8</v>
      </c>
      <c r="G191" s="35">
        <v>12</v>
      </c>
      <c r="H191">
        <v>0.52</v>
      </c>
      <c r="I191">
        <v>4</v>
      </c>
      <c r="J191">
        <v>5.8</v>
      </c>
      <c r="K191">
        <v>0.33600000000000002</v>
      </c>
      <c r="L191">
        <v>1.45</v>
      </c>
      <c r="M191">
        <v>17.28</v>
      </c>
      <c r="N191">
        <v>322</v>
      </c>
      <c r="O191">
        <v>11.3</v>
      </c>
      <c r="P191">
        <v>84</v>
      </c>
      <c r="Q191">
        <v>194</v>
      </c>
      <c r="R191">
        <v>52.1</v>
      </c>
      <c r="S191">
        <v>35.6</v>
      </c>
      <c r="T191">
        <v>0.5</v>
      </c>
      <c r="U191">
        <v>11.4</v>
      </c>
      <c r="V191">
        <v>0.5</v>
      </c>
      <c r="W191">
        <v>0</v>
      </c>
      <c r="X191">
        <v>0.27</v>
      </c>
      <c r="Y191">
        <v>0.18</v>
      </c>
      <c r="Z191">
        <v>0</v>
      </c>
      <c r="AA191">
        <v>0.06</v>
      </c>
      <c r="AB191">
        <v>0</v>
      </c>
      <c r="AC191">
        <v>0</v>
      </c>
      <c r="AD191">
        <v>4.2</v>
      </c>
      <c r="AE191">
        <v>169</v>
      </c>
    </row>
    <row r="192" spans="1:31" x14ac:dyDescent="0.25">
      <c r="A192" t="str">
        <f t="shared" si="5"/>
        <v>Ø2</v>
      </c>
      <c r="B192">
        <v>2</v>
      </c>
      <c r="C192" s="48" t="s">
        <v>175</v>
      </c>
      <c r="D192" t="s">
        <v>420</v>
      </c>
      <c r="E192" s="35" t="s">
        <v>49</v>
      </c>
      <c r="F192" s="35">
        <v>1275</v>
      </c>
      <c r="G192" s="35">
        <v>12</v>
      </c>
      <c r="H192">
        <v>5.0999999999999996</v>
      </c>
      <c r="I192">
        <v>4.18</v>
      </c>
      <c r="J192">
        <v>6.3</v>
      </c>
      <c r="K192">
        <v>0.32700000000000001</v>
      </c>
      <c r="L192">
        <v>1.51</v>
      </c>
      <c r="M192">
        <v>19.25</v>
      </c>
      <c r="N192">
        <v>277</v>
      </c>
      <c r="O192">
        <v>12.9</v>
      </c>
      <c r="P192">
        <v>78.2</v>
      </c>
      <c r="Q192">
        <v>220</v>
      </c>
      <c r="R192">
        <v>27.8</v>
      </c>
      <c r="S192">
        <v>67.400000000000006</v>
      </c>
      <c r="T192">
        <v>0.5</v>
      </c>
      <c r="U192">
        <v>4</v>
      </c>
      <c r="V192">
        <v>0.1</v>
      </c>
      <c r="W192">
        <v>0.3</v>
      </c>
      <c r="X192">
        <v>1.42</v>
      </c>
      <c r="Y192">
        <v>3.44</v>
      </c>
      <c r="Z192">
        <v>0.03</v>
      </c>
      <c r="AA192">
        <v>0.2</v>
      </c>
      <c r="AB192">
        <v>0</v>
      </c>
      <c r="AC192">
        <v>0.01</v>
      </c>
      <c r="AD192">
        <v>6.2</v>
      </c>
      <c r="AE192">
        <v>259.3</v>
      </c>
    </row>
    <row r="193" spans="1:31" x14ac:dyDescent="0.25">
      <c r="A193" t="str">
        <f t="shared" si="5"/>
        <v>Å2</v>
      </c>
      <c r="B193">
        <v>2</v>
      </c>
      <c r="C193" s="48" t="s">
        <v>145</v>
      </c>
      <c r="D193" t="s">
        <v>419</v>
      </c>
      <c r="E193" s="35" t="s">
        <v>60</v>
      </c>
      <c r="F193" s="35">
        <v>902</v>
      </c>
      <c r="G193" s="35">
        <v>12</v>
      </c>
      <c r="H193">
        <v>1.54</v>
      </c>
      <c r="I193">
        <v>4.75</v>
      </c>
      <c r="J193">
        <v>6.4</v>
      </c>
      <c r="K193">
        <v>0.34699999999999998</v>
      </c>
      <c r="L193">
        <v>1.35</v>
      </c>
      <c r="M193">
        <v>18.52</v>
      </c>
      <c r="N193">
        <v>228</v>
      </c>
      <c r="O193">
        <v>12.7</v>
      </c>
      <c r="P193">
        <v>73</v>
      </c>
      <c r="Q193">
        <v>219</v>
      </c>
      <c r="R193">
        <v>61.2</v>
      </c>
      <c r="S193">
        <v>36</v>
      </c>
      <c r="T193">
        <v>0.6</v>
      </c>
      <c r="U193">
        <v>2.1</v>
      </c>
      <c r="V193">
        <v>0.1</v>
      </c>
      <c r="W193">
        <v>0</v>
      </c>
      <c r="X193">
        <v>0.94</v>
      </c>
      <c r="Y193">
        <v>0.56000000000000005</v>
      </c>
      <c r="Z193">
        <v>0.01</v>
      </c>
      <c r="AA193">
        <v>0.03</v>
      </c>
      <c r="AB193">
        <v>0</v>
      </c>
      <c r="AC193">
        <v>0</v>
      </c>
      <c r="AD193">
        <v>4.7</v>
      </c>
      <c r="AE193">
        <v>225.6</v>
      </c>
    </row>
    <row r="194" spans="1:31" x14ac:dyDescent="0.25">
      <c r="A194" s="35" t="s">
        <v>643</v>
      </c>
      <c r="B194">
        <v>3</v>
      </c>
      <c r="C194" s="48" t="s">
        <v>36</v>
      </c>
      <c r="D194" t="s">
        <v>418</v>
      </c>
      <c r="E194" t="s">
        <v>49</v>
      </c>
      <c r="F194">
        <v>725</v>
      </c>
      <c r="G194" s="35">
        <v>12</v>
      </c>
      <c r="H194">
        <v>0.49</v>
      </c>
      <c r="I194">
        <v>3.15</v>
      </c>
      <c r="J194">
        <v>5.0999999999999996</v>
      </c>
      <c r="K194">
        <v>0.30599999999999999</v>
      </c>
      <c r="L194">
        <v>1.62</v>
      </c>
      <c r="M194">
        <v>16.64</v>
      </c>
      <c r="N194">
        <v>211</v>
      </c>
      <c r="O194">
        <v>13.2</v>
      </c>
      <c r="P194">
        <v>97.3</v>
      </c>
      <c r="Q194">
        <v>211</v>
      </c>
      <c r="R194">
        <v>14.3</v>
      </c>
      <c r="S194">
        <v>82.4</v>
      </c>
      <c r="T194">
        <v>0.3</v>
      </c>
      <c r="U194">
        <v>2.5</v>
      </c>
      <c r="V194">
        <v>0.3</v>
      </c>
      <c r="W194">
        <v>0.3</v>
      </c>
      <c r="X194">
        <v>7.0000000000000007E-2</v>
      </c>
      <c r="Y194">
        <v>0.4</v>
      </c>
      <c r="Z194">
        <v>0</v>
      </c>
      <c r="AA194">
        <v>0.01</v>
      </c>
      <c r="AB194">
        <v>0</v>
      </c>
      <c r="AC194">
        <v>0</v>
      </c>
      <c r="AD194">
        <v>3.9</v>
      </c>
      <c r="AE194">
        <v>122.5</v>
      </c>
    </row>
    <row r="195" spans="1:31" x14ac:dyDescent="0.25">
      <c r="A195" s="35" t="s">
        <v>751</v>
      </c>
      <c r="B195">
        <v>3</v>
      </c>
      <c r="C195" s="48" t="s">
        <v>586</v>
      </c>
      <c r="D195" t="s">
        <v>417</v>
      </c>
      <c r="E195" t="s">
        <v>60</v>
      </c>
      <c r="F195">
        <v>847</v>
      </c>
      <c r="G195" s="35">
        <v>12</v>
      </c>
      <c r="H195">
        <v>0.91</v>
      </c>
      <c r="I195">
        <v>3.2</v>
      </c>
      <c r="J195">
        <v>5.6</v>
      </c>
      <c r="K195">
        <v>0.3</v>
      </c>
      <c r="L195">
        <v>1.76</v>
      </c>
      <c r="M195">
        <v>18.8</v>
      </c>
      <c r="N195">
        <v>215</v>
      </c>
      <c r="O195">
        <v>13.6</v>
      </c>
      <c r="P195">
        <v>93.7</v>
      </c>
      <c r="Q195">
        <v>202</v>
      </c>
      <c r="R195">
        <v>22</v>
      </c>
      <c r="S195">
        <v>68.3</v>
      </c>
      <c r="T195">
        <v>0.4</v>
      </c>
      <c r="U195">
        <v>8.1999999999999993</v>
      </c>
      <c r="V195">
        <v>0.8</v>
      </c>
      <c r="W195">
        <v>0.3</v>
      </c>
      <c r="X195">
        <v>0.2</v>
      </c>
      <c r="Y195">
        <v>0.62</v>
      </c>
      <c r="Z195">
        <v>0</v>
      </c>
      <c r="AA195">
        <v>0.08</v>
      </c>
      <c r="AB195">
        <v>0.01</v>
      </c>
      <c r="AC195">
        <v>0</v>
      </c>
      <c r="AD195">
        <v>4.0999999999999996</v>
      </c>
      <c r="AE195">
        <v>132.1</v>
      </c>
    </row>
    <row r="196" spans="1:31" x14ac:dyDescent="0.25">
      <c r="A196" s="35" t="s">
        <v>659</v>
      </c>
      <c r="B196">
        <v>3</v>
      </c>
      <c r="C196" s="48" t="s">
        <v>39</v>
      </c>
      <c r="D196" t="s">
        <v>418</v>
      </c>
      <c r="E196" t="s">
        <v>49</v>
      </c>
      <c r="F196">
        <v>794</v>
      </c>
      <c r="G196" s="35">
        <v>12</v>
      </c>
    </row>
    <row r="197" spans="1:31" x14ac:dyDescent="0.25">
      <c r="A197" s="35" t="s">
        <v>731</v>
      </c>
      <c r="B197">
        <v>3</v>
      </c>
      <c r="C197" s="48" t="s">
        <v>584</v>
      </c>
      <c r="D197" t="s">
        <v>417</v>
      </c>
      <c r="E197" t="s">
        <v>60</v>
      </c>
      <c r="F197">
        <v>777</v>
      </c>
      <c r="G197" s="35">
        <v>12</v>
      </c>
      <c r="H197">
        <v>0.82</v>
      </c>
      <c r="I197">
        <v>2.83</v>
      </c>
      <c r="J197">
        <v>4.2</v>
      </c>
      <c r="K197">
        <v>0.221</v>
      </c>
      <c r="L197">
        <v>1.5</v>
      </c>
      <c r="M197">
        <v>19.22</v>
      </c>
      <c r="N197">
        <v>257</v>
      </c>
      <c r="O197">
        <v>11.9</v>
      </c>
      <c r="P197">
        <v>78.099999999999994</v>
      </c>
      <c r="Q197">
        <v>216</v>
      </c>
      <c r="R197">
        <v>6.1</v>
      </c>
      <c r="S197">
        <v>89.2</v>
      </c>
      <c r="T197">
        <v>0</v>
      </c>
      <c r="U197">
        <v>4.5</v>
      </c>
      <c r="V197">
        <v>0.2</v>
      </c>
      <c r="W197">
        <v>0</v>
      </c>
      <c r="X197">
        <v>0.05</v>
      </c>
      <c r="Y197">
        <v>0.73</v>
      </c>
      <c r="Z197">
        <v>0</v>
      </c>
      <c r="AA197">
        <v>0.04</v>
      </c>
      <c r="AB197">
        <v>0</v>
      </c>
      <c r="AC197">
        <v>0</v>
      </c>
      <c r="AD197">
        <v>6</v>
      </c>
      <c r="AE197">
        <v>168.9</v>
      </c>
    </row>
    <row r="198" spans="1:31" x14ac:dyDescent="0.25">
      <c r="A198" s="35" t="s">
        <v>639</v>
      </c>
      <c r="B198">
        <v>3</v>
      </c>
      <c r="C198" s="48" t="s">
        <v>45</v>
      </c>
      <c r="D198" t="s">
        <v>418</v>
      </c>
      <c r="E198" t="s">
        <v>60</v>
      </c>
      <c r="F198">
        <v>949.7</v>
      </c>
      <c r="G198" s="35">
        <v>12</v>
      </c>
      <c r="H198">
        <v>0.55000000000000004</v>
      </c>
      <c r="I198">
        <v>3.29</v>
      </c>
      <c r="J198">
        <v>5</v>
      </c>
      <c r="K198">
        <v>0.29099999999999998</v>
      </c>
      <c r="L198">
        <v>1.53</v>
      </c>
      <c r="M198">
        <v>17.36</v>
      </c>
      <c r="N198">
        <v>214</v>
      </c>
      <c r="O198">
        <v>13.1</v>
      </c>
      <c r="P198">
        <v>88.4</v>
      </c>
      <c r="Q198">
        <v>218</v>
      </c>
      <c r="R198">
        <v>39.6</v>
      </c>
      <c r="S198">
        <v>50.4</v>
      </c>
      <c r="T198">
        <v>0.5</v>
      </c>
      <c r="U198">
        <v>8.9</v>
      </c>
      <c r="V198">
        <v>0.7</v>
      </c>
      <c r="W198">
        <v>0</v>
      </c>
      <c r="X198">
        <v>0.22</v>
      </c>
      <c r="Y198">
        <v>0.28000000000000003</v>
      </c>
      <c r="Z198">
        <v>0</v>
      </c>
      <c r="AA198">
        <v>0.05</v>
      </c>
      <c r="AB198">
        <v>0</v>
      </c>
      <c r="AC198">
        <v>0</v>
      </c>
      <c r="AD198">
        <v>4.0999999999999996</v>
      </c>
      <c r="AE198">
        <v>135.80000000000001</v>
      </c>
    </row>
    <row r="199" spans="1:31" x14ac:dyDescent="0.25">
      <c r="A199" s="35" t="s">
        <v>707</v>
      </c>
      <c r="B199">
        <v>3</v>
      </c>
      <c r="C199" s="48" t="s">
        <v>51</v>
      </c>
      <c r="D199" t="s">
        <v>420</v>
      </c>
      <c r="E199" t="s">
        <v>49</v>
      </c>
      <c r="F199">
        <v>993</v>
      </c>
      <c r="G199" s="35">
        <v>12</v>
      </c>
      <c r="H199">
        <v>4.17</v>
      </c>
      <c r="I199">
        <v>3.74</v>
      </c>
      <c r="J199">
        <v>5.6</v>
      </c>
      <c r="K199">
        <v>0.3</v>
      </c>
      <c r="L199">
        <v>1.5</v>
      </c>
      <c r="M199">
        <v>18.73</v>
      </c>
      <c r="N199">
        <v>386</v>
      </c>
      <c r="O199">
        <v>11.2</v>
      </c>
      <c r="P199">
        <v>80.099999999999994</v>
      </c>
      <c r="Q199">
        <v>218</v>
      </c>
      <c r="R199">
        <v>46</v>
      </c>
      <c r="S199">
        <v>50</v>
      </c>
      <c r="T199">
        <v>0.6</v>
      </c>
      <c r="U199">
        <v>3.1</v>
      </c>
      <c r="V199">
        <v>0.2</v>
      </c>
      <c r="W199">
        <v>0.2</v>
      </c>
      <c r="X199">
        <v>1.92</v>
      </c>
      <c r="Y199">
        <v>2.08</v>
      </c>
      <c r="Z199">
        <v>0.03</v>
      </c>
      <c r="AA199">
        <v>0.13</v>
      </c>
      <c r="AB199">
        <v>0.01</v>
      </c>
      <c r="AC199">
        <v>0.01</v>
      </c>
      <c r="AD199">
        <v>6.4</v>
      </c>
      <c r="AE199">
        <v>240.5</v>
      </c>
    </row>
    <row r="200" spans="1:31" x14ac:dyDescent="0.25">
      <c r="A200" s="35" t="s">
        <v>670</v>
      </c>
      <c r="B200">
        <v>3</v>
      </c>
      <c r="C200" s="48" t="s">
        <v>585</v>
      </c>
      <c r="D200" t="s">
        <v>418</v>
      </c>
      <c r="E200" t="s">
        <v>60</v>
      </c>
      <c r="F200">
        <v>1159</v>
      </c>
      <c r="G200" s="35">
        <v>12</v>
      </c>
      <c r="H200">
        <v>0.85</v>
      </c>
      <c r="I200">
        <v>3.35</v>
      </c>
      <c r="J200">
        <v>5.5</v>
      </c>
      <c r="K200">
        <v>0.316</v>
      </c>
      <c r="L200">
        <v>1.63</v>
      </c>
      <c r="M200">
        <v>17.260000000000002</v>
      </c>
      <c r="N200">
        <v>261</v>
      </c>
      <c r="O200">
        <v>13.1</v>
      </c>
      <c r="P200">
        <v>94.3</v>
      </c>
      <c r="Q200">
        <v>190</v>
      </c>
      <c r="R200">
        <v>9.3000000000000007</v>
      </c>
      <c r="S200">
        <v>86.2</v>
      </c>
      <c r="T200">
        <v>0.6</v>
      </c>
      <c r="U200">
        <v>3.6</v>
      </c>
      <c r="V200">
        <v>0.3</v>
      </c>
      <c r="W200">
        <v>0</v>
      </c>
      <c r="X200">
        <v>0.08</v>
      </c>
      <c r="Y200">
        <v>0.73</v>
      </c>
      <c r="Z200">
        <v>0</v>
      </c>
      <c r="AA200">
        <v>0.03</v>
      </c>
      <c r="AB200">
        <v>0</v>
      </c>
      <c r="AC200">
        <v>0</v>
      </c>
      <c r="AD200">
        <v>2.7</v>
      </c>
      <c r="AE200">
        <v>89.7</v>
      </c>
    </row>
    <row r="201" spans="1:31" x14ac:dyDescent="0.25">
      <c r="A201" s="35" t="s">
        <v>666</v>
      </c>
      <c r="B201">
        <v>3</v>
      </c>
      <c r="C201" s="48" t="s">
        <v>53</v>
      </c>
      <c r="D201" t="s">
        <v>418</v>
      </c>
      <c r="E201" t="s">
        <v>49</v>
      </c>
      <c r="F201">
        <v>1104</v>
      </c>
      <c r="G201" s="35">
        <v>12</v>
      </c>
      <c r="H201">
        <v>0.78</v>
      </c>
      <c r="I201">
        <v>3.12</v>
      </c>
      <c r="J201">
        <v>4.9000000000000004</v>
      </c>
      <c r="K201">
        <v>0.30299999999999999</v>
      </c>
      <c r="L201">
        <v>1.55</v>
      </c>
      <c r="M201">
        <v>16</v>
      </c>
      <c r="N201">
        <v>201</v>
      </c>
      <c r="O201">
        <v>15.8</v>
      </c>
      <c r="P201">
        <v>97</v>
      </c>
      <c r="Q201">
        <v>191</v>
      </c>
      <c r="R201">
        <v>22.2</v>
      </c>
      <c r="S201">
        <v>61.5</v>
      </c>
      <c r="T201">
        <v>0.3</v>
      </c>
      <c r="U201">
        <v>15</v>
      </c>
      <c r="V201">
        <v>0.8</v>
      </c>
      <c r="W201">
        <v>0.2</v>
      </c>
      <c r="X201">
        <v>0.17</v>
      </c>
      <c r="Y201">
        <v>0.48</v>
      </c>
      <c r="Z201">
        <v>0</v>
      </c>
      <c r="AA201">
        <v>0.12</v>
      </c>
      <c r="AB201">
        <v>0.01</v>
      </c>
      <c r="AC201">
        <v>0</v>
      </c>
      <c r="AD201">
        <v>1.8</v>
      </c>
      <c r="AE201">
        <v>55.3</v>
      </c>
    </row>
    <row r="202" spans="1:31" x14ac:dyDescent="0.25">
      <c r="A202" s="35" t="s">
        <v>767</v>
      </c>
      <c r="B202">
        <v>3</v>
      </c>
      <c r="C202" s="48" t="s">
        <v>56</v>
      </c>
      <c r="D202" t="s">
        <v>417</v>
      </c>
      <c r="E202" t="s">
        <v>49</v>
      </c>
      <c r="F202">
        <v>996</v>
      </c>
      <c r="G202" s="35">
        <v>12</v>
      </c>
      <c r="H202">
        <v>0.62</v>
      </c>
      <c r="I202">
        <v>3.45</v>
      </c>
      <c r="J202">
        <v>4.7</v>
      </c>
      <c r="K202">
        <v>0.27</v>
      </c>
      <c r="L202">
        <v>1.37</v>
      </c>
      <c r="M202">
        <v>17.48</v>
      </c>
      <c r="N202">
        <v>245</v>
      </c>
      <c r="O202">
        <v>12.1</v>
      </c>
      <c r="P202">
        <v>78.099999999999994</v>
      </c>
      <c r="Q202">
        <v>223</v>
      </c>
      <c r="R202">
        <v>51.3</v>
      </c>
      <c r="S202">
        <v>40.799999999999997</v>
      </c>
      <c r="T202">
        <v>0.9</v>
      </c>
      <c r="U202">
        <v>6.4</v>
      </c>
      <c r="V202">
        <v>0.6</v>
      </c>
      <c r="W202">
        <v>0</v>
      </c>
      <c r="X202">
        <v>0.32</v>
      </c>
      <c r="Y202">
        <v>0.25</v>
      </c>
      <c r="Z202">
        <v>0.01</v>
      </c>
      <c r="AA202">
        <v>0.04</v>
      </c>
      <c r="AB202">
        <v>0</v>
      </c>
      <c r="AC202">
        <v>0</v>
      </c>
      <c r="AD202">
        <v>6.5</v>
      </c>
      <c r="AE202">
        <v>223.3</v>
      </c>
    </row>
    <row r="203" spans="1:31" x14ac:dyDescent="0.25">
      <c r="A203" s="35" t="s">
        <v>646</v>
      </c>
      <c r="B203">
        <v>3</v>
      </c>
      <c r="C203" s="48" t="s">
        <v>80</v>
      </c>
      <c r="D203" t="s">
        <v>418</v>
      </c>
      <c r="E203" t="s">
        <v>60</v>
      </c>
      <c r="F203">
        <v>885</v>
      </c>
      <c r="G203" s="35">
        <v>12</v>
      </c>
      <c r="H203">
        <v>0.64</v>
      </c>
      <c r="I203">
        <v>3.16</v>
      </c>
      <c r="J203">
        <v>4.5999999999999996</v>
      </c>
      <c r="K203">
        <v>0.27</v>
      </c>
      <c r="L203">
        <v>1.46</v>
      </c>
      <c r="M203">
        <v>17.13</v>
      </c>
      <c r="N203">
        <v>208</v>
      </c>
      <c r="O203">
        <v>12.9</v>
      </c>
      <c r="P203">
        <v>85.3</v>
      </c>
      <c r="Q203">
        <v>215</v>
      </c>
      <c r="R203">
        <v>50.6</v>
      </c>
      <c r="S203">
        <v>43.2</v>
      </c>
      <c r="T203">
        <v>0</v>
      </c>
      <c r="U203">
        <v>4.4000000000000004</v>
      </c>
      <c r="V203">
        <v>1.8</v>
      </c>
      <c r="W203">
        <v>0</v>
      </c>
      <c r="X203">
        <v>0.32</v>
      </c>
      <c r="Y203">
        <v>0.28000000000000003</v>
      </c>
      <c r="Z203">
        <v>0</v>
      </c>
      <c r="AA203">
        <v>0.03</v>
      </c>
      <c r="AB203">
        <v>0.01</v>
      </c>
      <c r="AC203">
        <v>0</v>
      </c>
      <c r="AD203">
        <v>6.1</v>
      </c>
      <c r="AE203">
        <v>192.7</v>
      </c>
    </row>
    <row r="204" spans="1:31" x14ac:dyDescent="0.25">
      <c r="A204" s="35" t="s">
        <v>596</v>
      </c>
      <c r="B204">
        <v>3</v>
      </c>
      <c r="C204" s="48" t="s">
        <v>82</v>
      </c>
      <c r="D204" t="s">
        <v>421</v>
      </c>
      <c r="E204" t="s">
        <v>49</v>
      </c>
      <c r="F204">
        <v>984</v>
      </c>
      <c r="G204" s="35">
        <v>12</v>
      </c>
      <c r="H204">
        <v>3.14</v>
      </c>
      <c r="I204">
        <v>3.85</v>
      </c>
      <c r="J204">
        <v>5.6</v>
      </c>
      <c r="K204">
        <v>0.32600000000000001</v>
      </c>
      <c r="L204">
        <v>1.45</v>
      </c>
      <c r="M204">
        <v>17.149999999999999</v>
      </c>
      <c r="N204">
        <v>321</v>
      </c>
      <c r="O204">
        <v>14</v>
      </c>
      <c r="P204">
        <v>84.5</v>
      </c>
      <c r="Q204">
        <v>233</v>
      </c>
      <c r="R204">
        <v>42.7</v>
      </c>
      <c r="S204">
        <v>56.2</v>
      </c>
      <c r="T204">
        <v>0.7</v>
      </c>
      <c r="U204">
        <v>0.4</v>
      </c>
      <c r="V204">
        <v>0.1</v>
      </c>
      <c r="W204">
        <v>0</v>
      </c>
      <c r="X204">
        <v>1.34</v>
      </c>
      <c r="Y204">
        <v>1.76</v>
      </c>
      <c r="Z204">
        <v>0.02</v>
      </c>
      <c r="AA204">
        <v>0.01</v>
      </c>
      <c r="AB204">
        <v>0</v>
      </c>
      <c r="AC204">
        <v>0</v>
      </c>
      <c r="AD204">
        <v>4.5999999999999996</v>
      </c>
      <c r="AE204">
        <v>176.1</v>
      </c>
    </row>
    <row r="205" spans="1:31" x14ac:dyDescent="0.25">
      <c r="A205" s="35" t="s">
        <v>755</v>
      </c>
      <c r="B205">
        <v>3</v>
      </c>
      <c r="C205" s="48" t="s">
        <v>58</v>
      </c>
      <c r="D205" t="s">
        <v>417</v>
      </c>
      <c r="E205" t="s">
        <v>60</v>
      </c>
      <c r="F205">
        <v>1175</v>
      </c>
      <c r="G205" s="35">
        <v>12</v>
      </c>
      <c r="H205">
        <v>1.92</v>
      </c>
      <c r="I205">
        <v>2.2200000000000002</v>
      </c>
      <c r="J205">
        <v>4.2</v>
      </c>
      <c r="K205">
        <v>0.20100000000000001</v>
      </c>
      <c r="L205">
        <v>1.89</v>
      </c>
      <c r="M205">
        <v>20.85</v>
      </c>
      <c r="N205">
        <v>228</v>
      </c>
      <c r="O205">
        <v>11.4</v>
      </c>
      <c r="P205">
        <v>90.7</v>
      </c>
      <c r="Q205">
        <v>207</v>
      </c>
      <c r="R205">
        <v>18.5</v>
      </c>
      <c r="S205">
        <v>75.7</v>
      </c>
      <c r="T205">
        <v>0.1</v>
      </c>
      <c r="U205">
        <v>5.4</v>
      </c>
      <c r="V205">
        <v>0.2</v>
      </c>
      <c r="W205">
        <v>0.1</v>
      </c>
      <c r="X205">
        <v>0.36</v>
      </c>
      <c r="Y205">
        <v>1.46</v>
      </c>
      <c r="Z205">
        <v>0</v>
      </c>
      <c r="AA205">
        <v>0.1</v>
      </c>
      <c r="AB205">
        <v>0</v>
      </c>
      <c r="AC205">
        <v>0</v>
      </c>
      <c r="AD205">
        <v>7</v>
      </c>
      <c r="AE205">
        <v>156</v>
      </c>
    </row>
    <row r="206" spans="1:31" x14ac:dyDescent="0.25">
      <c r="A206" s="35" t="s">
        <v>796</v>
      </c>
      <c r="B206">
        <v>3</v>
      </c>
      <c r="C206" s="48" t="s">
        <v>62</v>
      </c>
      <c r="D206" t="s">
        <v>419</v>
      </c>
      <c r="E206" t="s">
        <v>60</v>
      </c>
      <c r="F206">
        <v>1219</v>
      </c>
      <c r="G206" s="35">
        <v>12</v>
      </c>
      <c r="H206">
        <v>0.69</v>
      </c>
      <c r="I206">
        <v>2.82</v>
      </c>
      <c r="J206">
        <v>4.2</v>
      </c>
      <c r="K206">
        <v>0.23300000000000001</v>
      </c>
      <c r="L206">
        <v>1.48</v>
      </c>
      <c r="M206">
        <v>17.84</v>
      </c>
      <c r="N206">
        <v>186</v>
      </c>
      <c r="O206">
        <v>12.8</v>
      </c>
      <c r="P206">
        <v>82.9</v>
      </c>
      <c r="Q206">
        <v>213</v>
      </c>
      <c r="R206">
        <v>54.2</v>
      </c>
      <c r="S206">
        <v>38.1</v>
      </c>
      <c r="T206">
        <v>0</v>
      </c>
      <c r="U206">
        <v>7.5</v>
      </c>
      <c r="V206">
        <v>0.2</v>
      </c>
      <c r="W206">
        <v>0</v>
      </c>
      <c r="X206">
        <v>0.37</v>
      </c>
      <c r="Y206">
        <v>0.26</v>
      </c>
      <c r="Z206">
        <v>0</v>
      </c>
      <c r="AA206">
        <v>0.05</v>
      </c>
      <c r="AB206">
        <v>0</v>
      </c>
      <c r="AC206">
        <v>0</v>
      </c>
      <c r="AD206">
        <v>6.2</v>
      </c>
      <c r="AE206">
        <v>174.5</v>
      </c>
    </row>
    <row r="207" spans="1:31" x14ac:dyDescent="0.25">
      <c r="A207" s="35" t="s">
        <v>801</v>
      </c>
      <c r="B207">
        <v>3</v>
      </c>
      <c r="C207" s="48" t="s">
        <v>64</v>
      </c>
      <c r="D207" t="s">
        <v>419</v>
      </c>
      <c r="E207" t="s">
        <v>49</v>
      </c>
      <c r="F207">
        <v>849</v>
      </c>
      <c r="G207" s="35">
        <v>12</v>
      </c>
      <c r="H207">
        <v>1.65</v>
      </c>
      <c r="I207">
        <v>3.3</v>
      </c>
      <c r="J207">
        <v>5.0999999999999996</v>
      </c>
      <c r="K207">
        <v>0.27200000000000002</v>
      </c>
      <c r="L207">
        <v>1.55</v>
      </c>
      <c r="M207">
        <v>18.78</v>
      </c>
      <c r="N207">
        <v>367</v>
      </c>
      <c r="O207">
        <v>12.5</v>
      </c>
      <c r="P207">
        <v>82.3</v>
      </c>
      <c r="Q207">
        <v>228</v>
      </c>
      <c r="R207">
        <v>67.3</v>
      </c>
      <c r="S207">
        <v>28.7</v>
      </c>
      <c r="T207">
        <v>0.4</v>
      </c>
      <c r="U207">
        <v>3.4</v>
      </c>
      <c r="V207">
        <v>0.2</v>
      </c>
      <c r="W207">
        <v>0</v>
      </c>
      <c r="X207">
        <v>1.1100000000000001</v>
      </c>
      <c r="Y207">
        <v>0.47</v>
      </c>
      <c r="Z207">
        <v>0.01</v>
      </c>
      <c r="AA207">
        <v>0.06</v>
      </c>
      <c r="AB207">
        <v>0</v>
      </c>
      <c r="AC207">
        <v>0</v>
      </c>
      <c r="AD207">
        <v>7.6</v>
      </c>
      <c r="AE207">
        <v>252.4</v>
      </c>
    </row>
    <row r="208" spans="1:31" x14ac:dyDescent="0.25">
      <c r="A208" s="35" t="s">
        <v>699</v>
      </c>
      <c r="B208">
        <v>3</v>
      </c>
      <c r="C208" s="48" t="s">
        <v>66</v>
      </c>
      <c r="D208" t="s">
        <v>420</v>
      </c>
      <c r="E208" t="s">
        <v>60</v>
      </c>
      <c r="F208">
        <v>1279</v>
      </c>
      <c r="G208" s="35">
        <v>12</v>
      </c>
      <c r="H208">
        <v>2.83</v>
      </c>
      <c r="I208">
        <v>3</v>
      </c>
      <c r="J208">
        <v>4.3</v>
      </c>
      <c r="K208">
        <v>0.23400000000000001</v>
      </c>
      <c r="L208">
        <v>1.43</v>
      </c>
      <c r="M208">
        <v>18.23</v>
      </c>
      <c r="N208">
        <v>353</v>
      </c>
      <c r="O208">
        <v>11.1</v>
      </c>
      <c r="P208">
        <v>78.2</v>
      </c>
      <c r="Q208">
        <v>213</v>
      </c>
      <c r="R208">
        <v>35.799999999999997</v>
      </c>
      <c r="S208">
        <v>62.3</v>
      </c>
      <c r="T208">
        <v>0.7</v>
      </c>
      <c r="U208">
        <v>1</v>
      </c>
      <c r="V208">
        <v>0.1</v>
      </c>
      <c r="W208">
        <v>0.1</v>
      </c>
      <c r="X208">
        <v>1.01</v>
      </c>
      <c r="Y208">
        <v>1.76</v>
      </c>
      <c r="Z208">
        <v>0.02</v>
      </c>
      <c r="AA208">
        <v>0.03</v>
      </c>
      <c r="AB208">
        <v>0</v>
      </c>
      <c r="AC208">
        <v>0</v>
      </c>
      <c r="AD208">
        <v>6.8</v>
      </c>
      <c r="AE208">
        <v>203.3</v>
      </c>
    </row>
    <row r="209" spans="1:31" x14ac:dyDescent="0.25">
      <c r="A209" s="35" t="s">
        <v>613</v>
      </c>
      <c r="B209">
        <v>3</v>
      </c>
      <c r="C209" s="48" t="s">
        <v>385</v>
      </c>
      <c r="D209" t="s">
        <v>421</v>
      </c>
      <c r="E209" t="s">
        <v>60</v>
      </c>
      <c r="F209">
        <v>676</v>
      </c>
      <c r="G209" s="35">
        <v>12</v>
      </c>
      <c r="H209">
        <v>2.25</v>
      </c>
      <c r="I209">
        <v>2.3199999999999998</v>
      </c>
      <c r="J209">
        <v>3.8</v>
      </c>
      <c r="K209">
        <v>0.20799999999999999</v>
      </c>
      <c r="L209">
        <v>1.65</v>
      </c>
      <c r="M209">
        <v>18.34</v>
      </c>
      <c r="N209">
        <v>289</v>
      </c>
      <c r="O209">
        <v>12.3</v>
      </c>
      <c r="P209">
        <v>89.8</v>
      </c>
      <c r="Q209">
        <v>207</v>
      </c>
      <c r="R209">
        <v>34.700000000000003</v>
      </c>
      <c r="S209">
        <v>63.4</v>
      </c>
      <c r="T209">
        <v>0.8</v>
      </c>
      <c r="U209">
        <v>0.8</v>
      </c>
      <c r="V209">
        <v>0.3</v>
      </c>
      <c r="W209">
        <v>0</v>
      </c>
      <c r="X209">
        <v>0.78</v>
      </c>
      <c r="Y209">
        <v>1.42</v>
      </c>
      <c r="Z209">
        <v>0.02</v>
      </c>
      <c r="AA209">
        <v>0.02</v>
      </c>
      <c r="AB209">
        <v>0.01</v>
      </c>
      <c r="AC209">
        <v>0</v>
      </c>
      <c r="AD209">
        <v>7.1</v>
      </c>
      <c r="AE209">
        <v>164.4</v>
      </c>
    </row>
    <row r="210" spans="1:31" x14ac:dyDescent="0.25">
      <c r="A210" s="35" t="s">
        <v>720</v>
      </c>
      <c r="B210">
        <v>3</v>
      </c>
      <c r="C210" s="48" t="s">
        <v>68</v>
      </c>
      <c r="D210" t="s">
        <v>420</v>
      </c>
      <c r="E210" t="s">
        <v>60</v>
      </c>
      <c r="F210">
        <v>637</v>
      </c>
      <c r="G210" s="35">
        <v>12</v>
      </c>
      <c r="H210">
        <v>2.35</v>
      </c>
      <c r="I210">
        <v>3.42</v>
      </c>
      <c r="J210">
        <v>5.3</v>
      </c>
      <c r="K210">
        <v>0.28399999999999997</v>
      </c>
      <c r="L210">
        <v>1.55</v>
      </c>
      <c r="M210">
        <v>18.66</v>
      </c>
      <c r="N210">
        <v>333</v>
      </c>
      <c r="O210">
        <v>11.6</v>
      </c>
      <c r="P210">
        <v>82.9</v>
      </c>
      <c r="Q210">
        <v>221</v>
      </c>
      <c r="R210">
        <v>38.299999999999997</v>
      </c>
      <c r="S210">
        <v>60.1</v>
      </c>
      <c r="T210">
        <v>0.7</v>
      </c>
      <c r="U210">
        <v>0.8</v>
      </c>
      <c r="V210">
        <v>0.1</v>
      </c>
      <c r="W210">
        <v>0</v>
      </c>
      <c r="X210">
        <v>0.9</v>
      </c>
      <c r="Y210">
        <v>1.41</v>
      </c>
      <c r="Z210">
        <v>0.02</v>
      </c>
      <c r="AA210">
        <v>0.02</v>
      </c>
      <c r="AB210">
        <v>0</v>
      </c>
      <c r="AC210">
        <v>0</v>
      </c>
      <c r="AD210">
        <v>9.1</v>
      </c>
      <c r="AE210">
        <v>311.7</v>
      </c>
    </row>
    <row r="211" spans="1:31" x14ac:dyDescent="0.25">
      <c r="A211" s="35" t="s">
        <v>855</v>
      </c>
      <c r="B211">
        <v>3</v>
      </c>
      <c r="C211" s="48" t="s">
        <v>386</v>
      </c>
      <c r="D211" t="s">
        <v>419</v>
      </c>
      <c r="E211" t="s">
        <v>60</v>
      </c>
      <c r="F211">
        <v>1017</v>
      </c>
      <c r="G211" s="35">
        <v>12</v>
      </c>
    </row>
    <row r="212" spans="1:31" x14ac:dyDescent="0.25">
      <c r="A212" s="35" t="s">
        <v>813</v>
      </c>
      <c r="B212">
        <v>3</v>
      </c>
      <c r="C212" s="48" t="s">
        <v>388</v>
      </c>
      <c r="D212" t="s">
        <v>419</v>
      </c>
      <c r="E212" t="s">
        <v>49</v>
      </c>
      <c r="F212">
        <v>909</v>
      </c>
      <c r="G212" s="35">
        <v>12</v>
      </c>
    </row>
    <row r="213" spans="1:31" x14ac:dyDescent="0.25">
      <c r="A213" s="35" t="s">
        <v>861</v>
      </c>
      <c r="B213">
        <v>3</v>
      </c>
      <c r="C213" s="48" t="s">
        <v>389</v>
      </c>
      <c r="D213" t="s">
        <v>419</v>
      </c>
      <c r="E213" t="s">
        <v>49</v>
      </c>
      <c r="F213">
        <v>795</v>
      </c>
      <c r="G213" s="35">
        <v>12</v>
      </c>
      <c r="H213">
        <v>0.6</v>
      </c>
      <c r="I213">
        <v>3.13</v>
      </c>
      <c r="J213">
        <v>4.5999999999999996</v>
      </c>
      <c r="K213">
        <v>0.25600000000000001</v>
      </c>
      <c r="L213">
        <v>1.48</v>
      </c>
      <c r="M213">
        <v>18.02</v>
      </c>
      <c r="N213">
        <v>231</v>
      </c>
      <c r="O213">
        <v>12.9</v>
      </c>
      <c r="P213">
        <v>82</v>
      </c>
      <c r="Q213">
        <v>207</v>
      </c>
      <c r="R213">
        <v>26.2</v>
      </c>
      <c r="S213">
        <v>69.8</v>
      </c>
      <c r="T213">
        <v>0.2</v>
      </c>
      <c r="U213">
        <v>2</v>
      </c>
      <c r="V213">
        <v>1.3</v>
      </c>
      <c r="W213">
        <v>0.4</v>
      </c>
      <c r="X213">
        <v>0.16</v>
      </c>
      <c r="Y213">
        <v>0.42</v>
      </c>
      <c r="Z213">
        <v>0</v>
      </c>
      <c r="AA213">
        <v>0.01</v>
      </c>
      <c r="AB213">
        <v>0.01</v>
      </c>
      <c r="AC213">
        <v>0</v>
      </c>
      <c r="AD213">
        <v>5.4</v>
      </c>
      <c r="AE213">
        <v>170.1</v>
      </c>
    </row>
    <row r="214" spans="1:31" x14ac:dyDescent="0.25">
      <c r="A214" s="35" t="s">
        <v>703</v>
      </c>
      <c r="B214">
        <v>3</v>
      </c>
      <c r="C214" s="48" t="s">
        <v>390</v>
      </c>
      <c r="D214" t="s">
        <v>420</v>
      </c>
      <c r="E214" t="s">
        <v>49</v>
      </c>
      <c r="F214">
        <v>828</v>
      </c>
      <c r="G214" s="35">
        <v>12</v>
      </c>
      <c r="H214">
        <v>4.97</v>
      </c>
      <c r="I214">
        <v>2.59</v>
      </c>
      <c r="J214">
        <v>4.0999999999999996</v>
      </c>
      <c r="K214">
        <v>0.219</v>
      </c>
      <c r="L214">
        <v>1.6</v>
      </c>
      <c r="M214">
        <v>18.86</v>
      </c>
      <c r="N214">
        <v>250</v>
      </c>
      <c r="O214">
        <v>12.4</v>
      </c>
      <c r="P214">
        <v>84.7</v>
      </c>
      <c r="Q214">
        <v>209</v>
      </c>
      <c r="R214">
        <v>54</v>
      </c>
      <c r="S214">
        <v>43.2</v>
      </c>
      <c r="T214">
        <v>1</v>
      </c>
      <c r="U214">
        <v>1.1000000000000001</v>
      </c>
      <c r="V214">
        <v>0.6</v>
      </c>
      <c r="W214">
        <v>0</v>
      </c>
      <c r="X214">
        <v>2.69</v>
      </c>
      <c r="Y214">
        <v>2.15</v>
      </c>
      <c r="Z214">
        <v>0.05</v>
      </c>
      <c r="AA214">
        <v>0.06</v>
      </c>
      <c r="AB214">
        <v>0.03</v>
      </c>
      <c r="AC214">
        <v>0</v>
      </c>
      <c r="AD214">
        <v>5.4</v>
      </c>
      <c r="AE214">
        <v>140.5</v>
      </c>
    </row>
    <row r="215" spans="1:31" x14ac:dyDescent="0.25">
      <c r="A215" s="35" t="s">
        <v>858</v>
      </c>
      <c r="B215">
        <v>3</v>
      </c>
      <c r="C215" s="48" t="s">
        <v>384</v>
      </c>
      <c r="D215" t="s">
        <v>419</v>
      </c>
      <c r="E215" t="s">
        <v>49</v>
      </c>
      <c r="F215">
        <v>702</v>
      </c>
      <c r="G215" s="35">
        <v>12</v>
      </c>
      <c r="H215">
        <v>1.04</v>
      </c>
      <c r="I215">
        <v>3.4</v>
      </c>
      <c r="J215">
        <v>4.9000000000000004</v>
      </c>
      <c r="K215">
        <v>0.28499999999999998</v>
      </c>
      <c r="L215">
        <v>1.46</v>
      </c>
      <c r="M215">
        <v>17.32</v>
      </c>
      <c r="N215">
        <v>245</v>
      </c>
      <c r="O215">
        <v>13.1</v>
      </c>
      <c r="P215">
        <v>84</v>
      </c>
      <c r="Q215">
        <v>229</v>
      </c>
      <c r="R215">
        <v>63.3</v>
      </c>
      <c r="S215">
        <v>32.9</v>
      </c>
      <c r="T215">
        <v>0.4</v>
      </c>
      <c r="U215">
        <v>3</v>
      </c>
      <c r="V215">
        <v>0.1</v>
      </c>
      <c r="W215">
        <v>0.3</v>
      </c>
      <c r="X215">
        <v>0.66</v>
      </c>
      <c r="Y215">
        <v>0.34</v>
      </c>
      <c r="Z215">
        <v>0</v>
      </c>
      <c r="AA215">
        <v>0.03</v>
      </c>
      <c r="AB215">
        <v>0</v>
      </c>
      <c r="AC215">
        <v>0</v>
      </c>
      <c r="AD215">
        <v>5</v>
      </c>
      <c r="AE215">
        <v>168.6</v>
      </c>
    </row>
    <row r="216" spans="1:31" x14ac:dyDescent="0.25">
      <c r="A216" s="35" t="s">
        <v>605</v>
      </c>
      <c r="B216">
        <v>3</v>
      </c>
      <c r="C216" s="48" t="s">
        <v>202</v>
      </c>
      <c r="D216" t="s">
        <v>421</v>
      </c>
      <c r="E216" t="s">
        <v>49</v>
      </c>
      <c r="F216">
        <v>908</v>
      </c>
      <c r="G216" s="35">
        <v>12</v>
      </c>
      <c r="H216">
        <v>2.2999999999999998</v>
      </c>
      <c r="I216">
        <v>3.32</v>
      </c>
      <c r="J216">
        <v>5</v>
      </c>
      <c r="K216">
        <v>0.29699999999999999</v>
      </c>
      <c r="L216">
        <v>1.52</v>
      </c>
      <c r="M216">
        <v>16.95</v>
      </c>
      <c r="N216">
        <v>339</v>
      </c>
      <c r="O216">
        <v>11.9</v>
      </c>
      <c r="P216">
        <v>89.4</v>
      </c>
      <c r="Q216">
        <v>212</v>
      </c>
      <c r="R216">
        <v>45.7</v>
      </c>
      <c r="S216">
        <v>51.5</v>
      </c>
      <c r="T216">
        <v>1.5</v>
      </c>
      <c r="U216">
        <v>1.2</v>
      </c>
      <c r="V216">
        <v>0.1</v>
      </c>
      <c r="W216">
        <v>0</v>
      </c>
      <c r="X216">
        <v>1.05</v>
      </c>
      <c r="Y216">
        <v>1.19</v>
      </c>
      <c r="Z216">
        <v>0.03</v>
      </c>
      <c r="AA216">
        <v>0.03</v>
      </c>
      <c r="AB216">
        <v>0</v>
      </c>
      <c r="AC216">
        <v>0</v>
      </c>
      <c r="AD216">
        <v>6.4</v>
      </c>
      <c r="AE216">
        <v>211.1</v>
      </c>
    </row>
    <row r="217" spans="1:31" x14ac:dyDescent="0.25">
      <c r="A217" s="35" t="s">
        <v>1442</v>
      </c>
      <c r="B217">
        <v>3</v>
      </c>
      <c r="C217" s="48" t="s">
        <v>578</v>
      </c>
      <c r="D217" t="s">
        <v>417</v>
      </c>
      <c r="E217" t="s">
        <v>49</v>
      </c>
      <c r="F217">
        <v>826</v>
      </c>
      <c r="G217" s="35">
        <v>12</v>
      </c>
      <c r="H217">
        <v>0.56999999999999995</v>
      </c>
      <c r="I217">
        <v>3.39</v>
      </c>
      <c r="J217">
        <v>4.9000000000000004</v>
      </c>
      <c r="K217">
        <v>0.27800000000000002</v>
      </c>
      <c r="L217">
        <v>1.45</v>
      </c>
      <c r="M217">
        <v>17.7</v>
      </c>
      <c r="N217">
        <v>212</v>
      </c>
      <c r="O217">
        <v>13.4</v>
      </c>
      <c r="P217">
        <v>82.2</v>
      </c>
      <c r="Q217">
        <v>217</v>
      </c>
      <c r="R217">
        <v>30.5</v>
      </c>
      <c r="S217">
        <v>64.099999999999994</v>
      </c>
      <c r="T217">
        <v>0.6</v>
      </c>
      <c r="U217">
        <v>3.4</v>
      </c>
      <c r="V217">
        <v>1.1000000000000001</v>
      </c>
      <c r="W217">
        <v>0.2</v>
      </c>
      <c r="X217">
        <v>0.17</v>
      </c>
      <c r="Y217">
        <v>0.36</v>
      </c>
      <c r="Z217">
        <v>0</v>
      </c>
      <c r="AA217">
        <v>0.02</v>
      </c>
      <c r="AB217">
        <v>0.01</v>
      </c>
      <c r="AC217">
        <v>0</v>
      </c>
      <c r="AD217">
        <v>7.2</v>
      </c>
      <c r="AE217">
        <v>243.9</v>
      </c>
    </row>
    <row r="218" spans="1:31" x14ac:dyDescent="0.25">
      <c r="A218" s="35" t="s">
        <v>763</v>
      </c>
      <c r="B218">
        <v>3</v>
      </c>
      <c r="C218" s="48" t="s">
        <v>145</v>
      </c>
      <c r="D218" t="s">
        <v>417</v>
      </c>
      <c r="E218" t="s">
        <v>49</v>
      </c>
      <c r="F218">
        <v>970</v>
      </c>
      <c r="G218" s="35">
        <v>12</v>
      </c>
      <c r="H218">
        <v>1.33</v>
      </c>
      <c r="I218">
        <v>2.89</v>
      </c>
      <c r="J218">
        <v>4.3</v>
      </c>
      <c r="K218">
        <v>0.22800000000000001</v>
      </c>
      <c r="L218">
        <v>1.48</v>
      </c>
      <c r="M218">
        <v>18.75</v>
      </c>
      <c r="N218">
        <v>216</v>
      </c>
      <c r="O218">
        <v>12.5</v>
      </c>
      <c r="P218">
        <v>79</v>
      </c>
      <c r="Q218">
        <v>216</v>
      </c>
      <c r="R218">
        <v>46</v>
      </c>
      <c r="S218">
        <v>48.8</v>
      </c>
      <c r="T218">
        <v>0.1</v>
      </c>
      <c r="U218">
        <v>4.7</v>
      </c>
      <c r="V218">
        <v>0.4</v>
      </c>
      <c r="W218">
        <v>0</v>
      </c>
      <c r="X218">
        <v>0.61</v>
      </c>
      <c r="Y218">
        <v>0.65</v>
      </c>
      <c r="Z218">
        <v>0</v>
      </c>
      <c r="AA218">
        <v>0.06</v>
      </c>
      <c r="AB218">
        <v>0.01</v>
      </c>
      <c r="AC218">
        <v>0</v>
      </c>
      <c r="AD218">
        <v>6.6</v>
      </c>
      <c r="AE218">
        <v>191.9</v>
      </c>
    </row>
    <row r="219" spans="1:31" x14ac:dyDescent="0.25">
      <c r="A219" t="str">
        <f t="shared" ref="A219:A234" si="6">C219&amp;B219</f>
        <v>A1</v>
      </c>
      <c r="B219">
        <v>1</v>
      </c>
      <c r="C219" s="48" t="s">
        <v>36</v>
      </c>
      <c r="D219" t="s">
        <v>417</v>
      </c>
      <c r="E219" s="35" t="s">
        <v>60</v>
      </c>
      <c r="F219" s="35">
        <v>803</v>
      </c>
      <c r="G219" s="35">
        <v>22</v>
      </c>
    </row>
    <row r="220" spans="1:31" x14ac:dyDescent="0.25">
      <c r="A220" t="str">
        <f t="shared" si="6"/>
        <v>B1</v>
      </c>
      <c r="B220">
        <v>1</v>
      </c>
      <c r="C220" s="48" t="s">
        <v>39</v>
      </c>
      <c r="D220" t="s">
        <v>418</v>
      </c>
      <c r="E220" s="35" t="s">
        <v>49</v>
      </c>
      <c r="F220" s="35">
        <v>1222</v>
      </c>
      <c r="G220" s="35">
        <v>22</v>
      </c>
      <c r="H220">
        <v>0.66</v>
      </c>
      <c r="I220">
        <v>3.64</v>
      </c>
      <c r="J220">
        <v>5</v>
      </c>
      <c r="K220">
        <v>0.27600000000000002</v>
      </c>
      <c r="L220">
        <v>1.37</v>
      </c>
      <c r="M220">
        <v>18.03</v>
      </c>
      <c r="N220">
        <v>280</v>
      </c>
      <c r="O220">
        <v>11</v>
      </c>
      <c r="P220">
        <v>75.8</v>
      </c>
      <c r="Q220">
        <v>214</v>
      </c>
      <c r="R220">
        <v>69.599999999999994</v>
      </c>
      <c r="S220">
        <v>20</v>
      </c>
      <c r="T220">
        <v>0</v>
      </c>
      <c r="U220">
        <v>9.6</v>
      </c>
      <c r="V220">
        <v>0.8</v>
      </c>
      <c r="W220">
        <v>0</v>
      </c>
      <c r="X220">
        <v>0.46</v>
      </c>
      <c r="Y220">
        <v>0.13</v>
      </c>
      <c r="Z220">
        <v>0</v>
      </c>
      <c r="AA220">
        <v>0.06</v>
      </c>
      <c r="AB220">
        <v>0.01</v>
      </c>
      <c r="AC220">
        <v>0</v>
      </c>
      <c r="AD220">
        <v>6</v>
      </c>
      <c r="AE220">
        <v>216.9</v>
      </c>
    </row>
    <row r="221" spans="1:31" x14ac:dyDescent="0.25">
      <c r="A221" t="str">
        <f t="shared" si="6"/>
        <v>C1</v>
      </c>
      <c r="B221">
        <v>1</v>
      </c>
      <c r="C221" s="48" t="s">
        <v>43</v>
      </c>
      <c r="D221" t="s">
        <v>419</v>
      </c>
      <c r="E221" s="35" t="s">
        <v>49</v>
      </c>
      <c r="F221" s="35">
        <v>1065.9000000000001</v>
      </c>
      <c r="G221" s="35">
        <v>22</v>
      </c>
      <c r="H221">
        <v>1.39</v>
      </c>
      <c r="I221">
        <v>6.68</v>
      </c>
      <c r="J221">
        <v>5.2</v>
      </c>
      <c r="K221">
        <v>0.26900000000000002</v>
      </c>
      <c r="L221">
        <v>1.41</v>
      </c>
      <c r="M221">
        <v>19.329999999999998</v>
      </c>
      <c r="N221">
        <v>242</v>
      </c>
      <c r="O221">
        <v>12.1</v>
      </c>
      <c r="P221">
        <v>73.099999999999994</v>
      </c>
      <c r="Q221">
        <v>220</v>
      </c>
      <c r="R221">
        <v>70.5</v>
      </c>
      <c r="S221">
        <v>17.399999999999999</v>
      </c>
      <c r="T221">
        <v>2.4</v>
      </c>
      <c r="U221">
        <v>9.4</v>
      </c>
      <c r="V221">
        <v>0.3</v>
      </c>
      <c r="W221">
        <v>0</v>
      </c>
      <c r="X221">
        <v>0.98</v>
      </c>
      <c r="Y221">
        <v>0.24</v>
      </c>
      <c r="Z221">
        <v>0.03</v>
      </c>
      <c r="AA221">
        <v>0.13</v>
      </c>
      <c r="AB221">
        <v>0</v>
      </c>
      <c r="AC221">
        <v>0</v>
      </c>
      <c r="AD221">
        <v>6.5</v>
      </c>
      <c r="AE221">
        <v>240.6</v>
      </c>
    </row>
    <row r="222" spans="1:31" x14ac:dyDescent="0.25">
      <c r="A222" t="str">
        <f t="shared" si="6"/>
        <v>D1</v>
      </c>
      <c r="B222">
        <v>1</v>
      </c>
      <c r="C222" s="48" t="s">
        <v>45</v>
      </c>
      <c r="D222" t="s">
        <v>419</v>
      </c>
      <c r="E222" s="35" t="s">
        <v>49</v>
      </c>
      <c r="F222" s="35">
        <v>1224</v>
      </c>
      <c r="G222" s="35">
        <v>22</v>
      </c>
    </row>
    <row r="223" spans="1:31" x14ac:dyDescent="0.25">
      <c r="A223" t="str">
        <f t="shared" si="6"/>
        <v>E1</v>
      </c>
      <c r="B223">
        <v>1</v>
      </c>
      <c r="C223" s="48" t="s">
        <v>47</v>
      </c>
      <c r="D223" t="s">
        <v>419</v>
      </c>
      <c r="E223" s="35" t="s">
        <v>60</v>
      </c>
      <c r="F223" s="35">
        <v>1174</v>
      </c>
      <c r="G223" s="35">
        <v>22</v>
      </c>
      <c r="H223">
        <v>1.87</v>
      </c>
      <c r="I223">
        <v>3.77</v>
      </c>
      <c r="J223">
        <v>5.4</v>
      </c>
      <c r="K223">
        <v>0.28499999999999998</v>
      </c>
      <c r="L223">
        <v>1.44</v>
      </c>
      <c r="M223">
        <v>19.059999999999999</v>
      </c>
      <c r="N223">
        <v>222</v>
      </c>
      <c r="O223">
        <v>10.9</v>
      </c>
      <c r="P223">
        <v>75.5</v>
      </c>
      <c r="Q223">
        <v>235</v>
      </c>
      <c r="R223">
        <v>85.6</v>
      </c>
      <c r="S223">
        <v>10.6</v>
      </c>
      <c r="T223">
        <v>0.1</v>
      </c>
      <c r="U223">
        <v>3.5</v>
      </c>
      <c r="V223">
        <v>0.3</v>
      </c>
      <c r="W223">
        <v>0</v>
      </c>
      <c r="X223">
        <v>1.6</v>
      </c>
      <c r="Y223">
        <v>0.2</v>
      </c>
      <c r="Z223">
        <v>0</v>
      </c>
      <c r="AA223">
        <v>0.06</v>
      </c>
      <c r="AB223">
        <v>0.01</v>
      </c>
      <c r="AC223">
        <v>0</v>
      </c>
      <c r="AD223">
        <v>5.2</v>
      </c>
      <c r="AE223">
        <v>197.5</v>
      </c>
    </row>
    <row r="224" spans="1:31" x14ac:dyDescent="0.25">
      <c r="A224" t="str">
        <f t="shared" si="6"/>
        <v>F1</v>
      </c>
      <c r="B224">
        <v>1</v>
      </c>
      <c r="C224" s="48" t="s">
        <v>49</v>
      </c>
      <c r="D224" t="s">
        <v>418</v>
      </c>
      <c r="E224" s="35" t="s">
        <v>49</v>
      </c>
      <c r="F224" s="35">
        <v>1038.5</v>
      </c>
      <c r="G224" s="35">
        <v>22</v>
      </c>
      <c r="H224">
        <v>1.68</v>
      </c>
      <c r="I224">
        <v>2.34</v>
      </c>
      <c r="J224">
        <v>3.6</v>
      </c>
      <c r="K224">
        <v>0.215</v>
      </c>
      <c r="L224">
        <v>1.56</v>
      </c>
      <c r="M224">
        <v>16.93</v>
      </c>
      <c r="N224">
        <v>118</v>
      </c>
      <c r="O224">
        <v>15.4</v>
      </c>
      <c r="P224">
        <v>91.9</v>
      </c>
      <c r="Q224">
        <v>187</v>
      </c>
      <c r="R224">
        <v>48.2</v>
      </c>
      <c r="S224">
        <v>42.1</v>
      </c>
      <c r="T224">
        <v>1.4</v>
      </c>
      <c r="U224">
        <v>7.5</v>
      </c>
      <c r="V224">
        <v>0.4</v>
      </c>
      <c r="W224">
        <v>0.4</v>
      </c>
      <c r="X224">
        <v>0.81</v>
      </c>
      <c r="Y224">
        <v>0.71</v>
      </c>
      <c r="Z224">
        <v>0.02</v>
      </c>
      <c r="AA224">
        <v>0.13</v>
      </c>
      <c r="AB224">
        <v>0.01</v>
      </c>
      <c r="AC224">
        <v>0.01</v>
      </c>
      <c r="AD224">
        <v>1.1000000000000001</v>
      </c>
      <c r="AE224">
        <v>26</v>
      </c>
    </row>
    <row r="225" spans="1:31" x14ac:dyDescent="0.25">
      <c r="A225" t="str">
        <f t="shared" si="6"/>
        <v>G1</v>
      </c>
      <c r="B225">
        <v>1</v>
      </c>
      <c r="C225" s="48" t="s">
        <v>51</v>
      </c>
      <c r="D225" t="s">
        <v>419</v>
      </c>
      <c r="E225" s="35" t="s">
        <v>49</v>
      </c>
      <c r="F225" s="35">
        <v>932.1</v>
      </c>
      <c r="G225" s="35">
        <v>22</v>
      </c>
      <c r="H225">
        <v>3.57</v>
      </c>
      <c r="I225">
        <v>3.38</v>
      </c>
      <c r="J225">
        <v>4.9000000000000004</v>
      </c>
      <c r="K225">
        <v>0.24299999999999999</v>
      </c>
      <c r="L225">
        <v>1.45</v>
      </c>
      <c r="M225">
        <v>20.11</v>
      </c>
      <c r="N225">
        <v>252</v>
      </c>
      <c r="O225">
        <v>12.3</v>
      </c>
      <c r="P225">
        <v>72</v>
      </c>
      <c r="Q225">
        <v>221</v>
      </c>
      <c r="R225">
        <v>71.400000000000006</v>
      </c>
      <c r="S225">
        <v>24.8</v>
      </c>
      <c r="T225">
        <v>0.5</v>
      </c>
      <c r="U225">
        <v>2.8</v>
      </c>
      <c r="V225">
        <v>0.3</v>
      </c>
      <c r="W225">
        <v>0.2</v>
      </c>
      <c r="X225">
        <v>2.5499999999999998</v>
      </c>
      <c r="Y225">
        <v>0.89</v>
      </c>
      <c r="Z225">
        <v>0.02</v>
      </c>
      <c r="AA225">
        <v>0.1</v>
      </c>
      <c r="AB225">
        <v>0.01</v>
      </c>
      <c r="AC225">
        <v>0.01</v>
      </c>
      <c r="AD225">
        <v>5.0999999999999996</v>
      </c>
      <c r="AE225">
        <v>171</v>
      </c>
    </row>
    <row r="226" spans="1:31" x14ac:dyDescent="0.25">
      <c r="A226" t="str">
        <f t="shared" si="6"/>
        <v>H1</v>
      </c>
      <c r="B226">
        <v>1</v>
      </c>
      <c r="C226" s="48" t="s">
        <v>53</v>
      </c>
      <c r="D226" t="s">
        <v>421</v>
      </c>
      <c r="E226" s="35" t="s">
        <v>60</v>
      </c>
      <c r="F226" s="35">
        <v>1165</v>
      </c>
      <c r="G226" s="35">
        <v>22</v>
      </c>
      <c r="H226">
        <v>2.4500000000000002</v>
      </c>
      <c r="I226">
        <v>3.59</v>
      </c>
      <c r="J226">
        <v>5</v>
      </c>
      <c r="K226">
        <v>0.26500000000000001</v>
      </c>
      <c r="L226">
        <v>1.39</v>
      </c>
      <c r="M226">
        <v>18.79</v>
      </c>
      <c r="N226">
        <v>277</v>
      </c>
      <c r="O226">
        <v>12.3</v>
      </c>
      <c r="P226">
        <v>73.8</v>
      </c>
      <c r="Q226">
        <v>229</v>
      </c>
      <c r="R226">
        <v>69.7</v>
      </c>
      <c r="S226">
        <v>22.1</v>
      </c>
      <c r="T226">
        <v>5.4</v>
      </c>
      <c r="U226">
        <v>2.7</v>
      </c>
      <c r="V226">
        <v>0</v>
      </c>
      <c r="W226">
        <v>0</v>
      </c>
      <c r="X226">
        <v>1.71</v>
      </c>
      <c r="Y226">
        <v>0.54</v>
      </c>
      <c r="Z226">
        <v>0.13</v>
      </c>
      <c r="AA226">
        <v>7.0000000000000007E-2</v>
      </c>
      <c r="AB226">
        <v>0</v>
      </c>
      <c r="AC226">
        <v>0</v>
      </c>
      <c r="AD226">
        <v>5.0999999999999996</v>
      </c>
      <c r="AE226">
        <v>182.4</v>
      </c>
    </row>
    <row r="227" spans="1:31" x14ac:dyDescent="0.25">
      <c r="A227" t="str">
        <f t="shared" si="6"/>
        <v>I1</v>
      </c>
      <c r="B227">
        <v>1</v>
      </c>
      <c r="C227" s="48" t="s">
        <v>56</v>
      </c>
      <c r="D227" t="s">
        <v>418</v>
      </c>
      <c r="E227" s="35" t="s">
        <v>60</v>
      </c>
      <c r="F227" s="35">
        <v>1075</v>
      </c>
      <c r="G227" s="35">
        <v>22</v>
      </c>
      <c r="H227">
        <v>1.69</v>
      </c>
      <c r="I227">
        <v>3.3</v>
      </c>
      <c r="J227">
        <v>4.5999999999999996</v>
      </c>
      <c r="K227">
        <v>0.26</v>
      </c>
      <c r="L227">
        <v>1.38</v>
      </c>
      <c r="M227">
        <v>17.48</v>
      </c>
      <c r="N227">
        <v>214</v>
      </c>
      <c r="O227">
        <v>12.7</v>
      </c>
      <c r="P227">
        <v>78.8</v>
      </c>
      <c r="Q227">
        <v>217</v>
      </c>
      <c r="R227">
        <v>79.3</v>
      </c>
      <c r="S227">
        <v>15.4</v>
      </c>
      <c r="T227">
        <v>0.5</v>
      </c>
      <c r="U227">
        <v>4.5</v>
      </c>
      <c r="V227">
        <v>0.2</v>
      </c>
      <c r="W227">
        <v>0.2</v>
      </c>
      <c r="X227">
        <v>1.37</v>
      </c>
      <c r="Y227">
        <v>0.26</v>
      </c>
      <c r="Z227">
        <v>0.01</v>
      </c>
      <c r="AA227">
        <v>0.08</v>
      </c>
      <c r="AB227">
        <v>0</v>
      </c>
      <c r="AC227">
        <v>0</v>
      </c>
      <c r="AD227">
        <v>4</v>
      </c>
      <c r="AE227">
        <v>131.4</v>
      </c>
    </row>
    <row r="228" spans="1:31" x14ac:dyDescent="0.25">
      <c r="A228" t="str">
        <f t="shared" si="6"/>
        <v>J1</v>
      </c>
      <c r="B228">
        <v>1</v>
      </c>
      <c r="C228" s="48" t="s">
        <v>80</v>
      </c>
      <c r="D228" t="s">
        <v>417</v>
      </c>
      <c r="E228" s="35" t="s">
        <v>60</v>
      </c>
      <c r="F228" s="35">
        <v>1324.5</v>
      </c>
      <c r="G228" s="35">
        <v>22</v>
      </c>
    </row>
    <row r="229" spans="1:31" x14ac:dyDescent="0.25">
      <c r="A229" t="str">
        <f t="shared" si="6"/>
        <v>K1</v>
      </c>
      <c r="B229">
        <v>1</v>
      </c>
      <c r="C229" s="48" t="s">
        <v>82</v>
      </c>
      <c r="D229" t="s">
        <v>420</v>
      </c>
      <c r="E229" s="35" t="s">
        <v>60</v>
      </c>
      <c r="F229" s="35">
        <v>1206.8</v>
      </c>
      <c r="G229" s="35">
        <v>22</v>
      </c>
      <c r="H229">
        <v>1.73</v>
      </c>
      <c r="I229">
        <v>1.85</v>
      </c>
      <c r="J229">
        <v>2.7</v>
      </c>
      <c r="K229">
        <v>0.13</v>
      </c>
      <c r="L229">
        <v>1.46</v>
      </c>
      <c r="M229">
        <v>20.8</v>
      </c>
      <c r="N229">
        <v>240</v>
      </c>
      <c r="O229">
        <v>12.7</v>
      </c>
      <c r="P229">
        <v>70.099999999999994</v>
      </c>
      <c r="Q229">
        <v>222</v>
      </c>
      <c r="R229">
        <v>29.1</v>
      </c>
      <c r="S229">
        <v>65.3</v>
      </c>
      <c r="T229">
        <v>0.4</v>
      </c>
      <c r="U229">
        <v>5.2</v>
      </c>
      <c r="V229">
        <v>0</v>
      </c>
      <c r="W229">
        <v>0</v>
      </c>
      <c r="X229">
        <v>0.5</v>
      </c>
      <c r="Y229">
        <v>1.1299999999999999</v>
      </c>
      <c r="Z229">
        <v>0.01</v>
      </c>
      <c r="AA229">
        <v>0.09</v>
      </c>
      <c r="AB229">
        <v>0</v>
      </c>
      <c r="AC229">
        <v>0</v>
      </c>
      <c r="AD229">
        <v>6.3</v>
      </c>
      <c r="AE229">
        <v>117</v>
      </c>
    </row>
    <row r="230" spans="1:31" x14ac:dyDescent="0.25">
      <c r="A230" t="str">
        <f t="shared" si="6"/>
        <v>L1</v>
      </c>
      <c r="B230">
        <v>1</v>
      </c>
      <c r="C230" s="48" t="s">
        <v>58</v>
      </c>
      <c r="D230" t="s">
        <v>421</v>
      </c>
      <c r="E230" s="35" t="s">
        <v>49</v>
      </c>
      <c r="F230" s="35">
        <v>1129</v>
      </c>
      <c r="G230" s="35">
        <v>22</v>
      </c>
      <c r="H230">
        <v>2.39</v>
      </c>
      <c r="I230">
        <v>3.72</v>
      </c>
      <c r="J230">
        <v>5.2</v>
      </c>
      <c r="K230">
        <v>0.28199999999999997</v>
      </c>
      <c r="L230">
        <v>1.4</v>
      </c>
      <c r="M230">
        <v>18.510000000000002</v>
      </c>
      <c r="N230">
        <v>378</v>
      </c>
      <c r="O230">
        <v>11</v>
      </c>
      <c r="P230">
        <v>75.8</v>
      </c>
      <c r="Q230">
        <v>223</v>
      </c>
      <c r="R230">
        <v>84.3</v>
      </c>
      <c r="S230">
        <v>13.4</v>
      </c>
      <c r="T230">
        <v>0.5</v>
      </c>
      <c r="U230">
        <v>1.7</v>
      </c>
      <c r="V230">
        <v>0</v>
      </c>
      <c r="W230">
        <v>0</v>
      </c>
      <c r="X230">
        <v>2.02</v>
      </c>
      <c r="Y230">
        <v>0.32</v>
      </c>
      <c r="Z230">
        <v>0.01</v>
      </c>
      <c r="AA230">
        <v>0.04</v>
      </c>
      <c r="AB230">
        <v>0</v>
      </c>
      <c r="AC230">
        <v>0</v>
      </c>
      <c r="AD230">
        <v>6.3</v>
      </c>
      <c r="AE230">
        <v>235.3</v>
      </c>
    </row>
    <row r="231" spans="1:31" x14ac:dyDescent="0.25">
      <c r="A231" t="str">
        <f t="shared" si="6"/>
        <v>M1</v>
      </c>
      <c r="B231">
        <v>1</v>
      </c>
      <c r="C231" s="48" t="s">
        <v>60</v>
      </c>
      <c r="D231" t="s">
        <v>417</v>
      </c>
      <c r="E231" s="35" t="s">
        <v>49</v>
      </c>
      <c r="F231" s="35">
        <v>1191</v>
      </c>
      <c r="G231" s="35">
        <v>22</v>
      </c>
      <c r="H231">
        <v>3.07</v>
      </c>
      <c r="I231">
        <v>3.77</v>
      </c>
      <c r="J231">
        <v>4.8</v>
      </c>
      <c r="K231">
        <v>0.252</v>
      </c>
      <c r="L231">
        <v>1.28</v>
      </c>
      <c r="M231">
        <v>19.059999999999999</v>
      </c>
      <c r="N231">
        <v>207</v>
      </c>
      <c r="O231">
        <v>13.3</v>
      </c>
      <c r="P231">
        <v>66.900000000000006</v>
      </c>
      <c r="Q231">
        <v>227</v>
      </c>
      <c r="R231">
        <v>85.7</v>
      </c>
      <c r="S231">
        <v>11.3</v>
      </c>
      <c r="T231">
        <v>0.1</v>
      </c>
      <c r="U231">
        <v>2.7</v>
      </c>
      <c r="V231">
        <v>0.1</v>
      </c>
      <c r="W231">
        <v>0.1</v>
      </c>
      <c r="X231">
        <v>2.63</v>
      </c>
      <c r="Y231">
        <v>0.35</v>
      </c>
      <c r="Z231">
        <v>0</v>
      </c>
      <c r="AA231">
        <v>0.08</v>
      </c>
      <c r="AB231">
        <v>0</v>
      </c>
      <c r="AC231">
        <v>0</v>
      </c>
      <c r="AD231">
        <v>5.7</v>
      </c>
      <c r="AE231">
        <v>215.2</v>
      </c>
    </row>
    <row r="232" spans="1:31" x14ac:dyDescent="0.25">
      <c r="A232" t="str">
        <f t="shared" si="6"/>
        <v>N1</v>
      </c>
      <c r="B232">
        <v>1</v>
      </c>
      <c r="C232" s="48" t="s">
        <v>62</v>
      </c>
      <c r="D232" t="s">
        <v>418</v>
      </c>
      <c r="E232" s="35" t="s">
        <v>60</v>
      </c>
      <c r="F232" s="35">
        <v>1468</v>
      </c>
      <c r="G232" s="35">
        <v>22</v>
      </c>
    </row>
    <row r="233" spans="1:31" x14ac:dyDescent="0.25">
      <c r="A233" t="str">
        <f t="shared" si="6"/>
        <v>O1</v>
      </c>
      <c r="B233">
        <v>1</v>
      </c>
      <c r="C233" s="48" t="s">
        <v>64</v>
      </c>
      <c r="D233" t="s">
        <v>419</v>
      </c>
      <c r="E233" s="35" t="s">
        <v>60</v>
      </c>
      <c r="F233" s="35">
        <v>1314.8</v>
      </c>
      <c r="G233" s="35">
        <v>22</v>
      </c>
      <c r="H233">
        <v>0.76</v>
      </c>
      <c r="I233">
        <v>3.6</v>
      </c>
      <c r="J233">
        <v>5</v>
      </c>
      <c r="K233">
        <v>0.254</v>
      </c>
      <c r="L233">
        <v>1.39</v>
      </c>
      <c r="M233">
        <v>19.72</v>
      </c>
      <c r="N233">
        <v>186</v>
      </c>
      <c r="O233">
        <v>12.4</v>
      </c>
      <c r="P233">
        <v>70.5</v>
      </c>
      <c r="Q233">
        <v>215</v>
      </c>
      <c r="R233">
        <v>63.4</v>
      </c>
      <c r="S233">
        <v>28.5</v>
      </c>
      <c r="T233">
        <v>0.9</v>
      </c>
      <c r="U233">
        <v>6.9</v>
      </c>
      <c r="V233">
        <v>0</v>
      </c>
      <c r="W233">
        <v>0.4</v>
      </c>
      <c r="X233">
        <v>0.48</v>
      </c>
      <c r="Y233">
        <v>0.22</v>
      </c>
      <c r="Z233">
        <v>0.01</v>
      </c>
      <c r="AA233">
        <v>0.05</v>
      </c>
      <c r="AB233">
        <v>0</v>
      </c>
      <c r="AC233">
        <v>0</v>
      </c>
      <c r="AD233">
        <v>4.9000000000000004</v>
      </c>
      <c r="AE233">
        <v>176.8</v>
      </c>
    </row>
    <row r="234" spans="1:31" x14ac:dyDescent="0.25">
      <c r="A234" t="str">
        <f t="shared" si="6"/>
        <v>P1</v>
      </c>
      <c r="B234">
        <v>1</v>
      </c>
      <c r="C234" s="48" t="s">
        <v>66</v>
      </c>
      <c r="D234" t="s">
        <v>417</v>
      </c>
      <c r="E234" s="35" t="s">
        <v>60</v>
      </c>
      <c r="F234" s="35">
        <v>981</v>
      </c>
      <c r="G234" s="35">
        <v>22</v>
      </c>
    </row>
    <row r="235" spans="1:31" x14ac:dyDescent="0.25">
      <c r="C235" s="48"/>
    </row>
    <row r="236" spans="1:31" x14ac:dyDescent="0.25">
      <c r="A236" t="str">
        <f t="shared" ref="A236:A265" si="7">C236&amp;B236</f>
        <v>R1</v>
      </c>
      <c r="B236">
        <v>1</v>
      </c>
      <c r="C236" s="48" t="s">
        <v>68</v>
      </c>
      <c r="D236" t="s">
        <v>417</v>
      </c>
      <c r="E236" s="35" t="s">
        <v>49</v>
      </c>
      <c r="F236" s="35">
        <v>988.2</v>
      </c>
      <c r="G236" s="35">
        <v>22</v>
      </c>
      <c r="H236">
        <v>0.59</v>
      </c>
      <c r="I236">
        <v>2.06</v>
      </c>
      <c r="J236">
        <v>3.4</v>
      </c>
      <c r="K236">
        <v>0.17399999999999999</v>
      </c>
      <c r="L236">
        <v>1.65</v>
      </c>
      <c r="M236">
        <v>19.62</v>
      </c>
      <c r="N236">
        <v>167</v>
      </c>
      <c r="O236">
        <v>15</v>
      </c>
      <c r="P236">
        <v>84.2</v>
      </c>
      <c r="Q236">
        <v>171</v>
      </c>
      <c r="R236">
        <v>53.6</v>
      </c>
      <c r="S236">
        <v>32.1</v>
      </c>
      <c r="T236">
        <v>2.9</v>
      </c>
      <c r="U236">
        <v>10.3</v>
      </c>
      <c r="V236">
        <v>0.6</v>
      </c>
      <c r="W236">
        <v>0.6</v>
      </c>
      <c r="X236">
        <v>0.31</v>
      </c>
      <c r="Y236">
        <v>0.19</v>
      </c>
      <c r="Z236">
        <v>0.02</v>
      </c>
      <c r="AA236">
        <v>0.06</v>
      </c>
      <c r="AB236">
        <v>0</v>
      </c>
      <c r="AC236">
        <v>0</v>
      </c>
      <c r="AD236">
        <v>2.9</v>
      </c>
      <c r="AE236">
        <v>60.3</v>
      </c>
    </row>
    <row r="237" spans="1:31" x14ac:dyDescent="0.25">
      <c r="A237" t="str">
        <f t="shared" si="7"/>
        <v>S1</v>
      </c>
      <c r="B237">
        <v>1</v>
      </c>
      <c r="C237" s="48" t="s">
        <v>70</v>
      </c>
      <c r="D237" t="s">
        <v>420</v>
      </c>
      <c r="E237" s="35" t="s">
        <v>49</v>
      </c>
      <c r="F237" s="35">
        <v>1004</v>
      </c>
      <c r="G237" s="35">
        <v>22</v>
      </c>
      <c r="H237">
        <v>2.11</v>
      </c>
      <c r="I237">
        <v>3.89</v>
      </c>
      <c r="J237">
        <v>6</v>
      </c>
      <c r="K237">
        <v>0.32500000000000001</v>
      </c>
      <c r="L237">
        <v>1.54</v>
      </c>
      <c r="M237">
        <v>18.43</v>
      </c>
      <c r="N237">
        <v>315</v>
      </c>
      <c r="O237">
        <v>9.9</v>
      </c>
      <c r="P237">
        <v>83.6</v>
      </c>
      <c r="Q237">
        <v>231</v>
      </c>
      <c r="R237">
        <v>65.7</v>
      </c>
      <c r="S237">
        <v>30.9</v>
      </c>
      <c r="T237">
        <v>0.9</v>
      </c>
      <c r="U237">
        <v>2.5</v>
      </c>
      <c r="V237">
        <v>0</v>
      </c>
      <c r="W237">
        <v>0</v>
      </c>
      <c r="X237">
        <v>1.39</v>
      </c>
      <c r="Y237">
        <v>0.65</v>
      </c>
      <c r="Z237">
        <v>0.02</v>
      </c>
      <c r="AA237">
        <v>0.05</v>
      </c>
      <c r="AB237">
        <v>0</v>
      </c>
      <c r="AC237">
        <v>0</v>
      </c>
      <c r="AD237">
        <v>7.7</v>
      </c>
      <c r="AE237">
        <v>299.2</v>
      </c>
    </row>
    <row r="238" spans="1:31" x14ac:dyDescent="0.25">
      <c r="A238" t="str">
        <f t="shared" si="7"/>
        <v>A2</v>
      </c>
      <c r="B238">
        <v>2</v>
      </c>
      <c r="C238" s="48" t="s">
        <v>36</v>
      </c>
      <c r="D238" t="s">
        <v>417</v>
      </c>
      <c r="E238" s="35" t="s">
        <v>60</v>
      </c>
      <c r="F238" s="35">
        <v>1210</v>
      </c>
      <c r="G238" s="35">
        <v>22</v>
      </c>
    </row>
    <row r="239" spans="1:31" x14ac:dyDescent="0.25">
      <c r="A239" t="str">
        <f t="shared" si="7"/>
        <v>B2</v>
      </c>
      <c r="B239">
        <v>2</v>
      </c>
      <c r="C239" s="48" t="s">
        <v>39</v>
      </c>
      <c r="D239" t="s">
        <v>417</v>
      </c>
      <c r="E239" s="35" t="s">
        <v>49</v>
      </c>
      <c r="F239" s="35">
        <v>1015</v>
      </c>
      <c r="G239" s="35">
        <v>22</v>
      </c>
      <c r="H239">
        <v>2.5299999999999998</v>
      </c>
      <c r="I239">
        <v>4.05</v>
      </c>
      <c r="J239">
        <v>5.6</v>
      </c>
      <c r="K239">
        <v>0.318</v>
      </c>
      <c r="L239">
        <v>1.37</v>
      </c>
      <c r="M239">
        <v>17.510000000000002</v>
      </c>
      <c r="N239">
        <v>214</v>
      </c>
      <c r="O239">
        <v>17.600000000000001</v>
      </c>
      <c r="P239">
        <v>78.400000000000006</v>
      </c>
      <c r="Q239">
        <v>185</v>
      </c>
      <c r="R239">
        <v>56.2</v>
      </c>
      <c r="S239">
        <v>33.299999999999997</v>
      </c>
      <c r="T239">
        <v>0.1</v>
      </c>
      <c r="U239">
        <v>9.6</v>
      </c>
      <c r="V239">
        <v>0.7</v>
      </c>
      <c r="W239">
        <v>0.1</v>
      </c>
      <c r="X239">
        <v>1.42</v>
      </c>
      <c r="Y239">
        <v>0.84</v>
      </c>
      <c r="Z239">
        <v>0</v>
      </c>
      <c r="AA239">
        <v>0.24</v>
      </c>
      <c r="AB239">
        <v>0.02</v>
      </c>
      <c r="AC239">
        <v>0</v>
      </c>
      <c r="AD239">
        <v>4.2</v>
      </c>
      <c r="AE239">
        <v>171</v>
      </c>
    </row>
    <row r="240" spans="1:31" x14ac:dyDescent="0.25">
      <c r="A240" t="str">
        <f t="shared" si="7"/>
        <v>C2</v>
      </c>
      <c r="B240">
        <v>2</v>
      </c>
      <c r="C240" s="48" t="s">
        <v>43</v>
      </c>
      <c r="D240" t="s">
        <v>417</v>
      </c>
      <c r="E240" s="35" t="s">
        <v>49</v>
      </c>
      <c r="F240" s="35">
        <v>1210</v>
      </c>
      <c r="G240" s="35">
        <v>22</v>
      </c>
      <c r="H240">
        <v>1.17</v>
      </c>
      <c r="I240">
        <v>4.78</v>
      </c>
      <c r="J240">
        <v>6.3</v>
      </c>
      <c r="K240">
        <v>0.34</v>
      </c>
      <c r="L240">
        <v>1.32</v>
      </c>
      <c r="M240">
        <v>18.5</v>
      </c>
      <c r="N240">
        <v>219</v>
      </c>
      <c r="O240">
        <v>13.1</v>
      </c>
      <c r="P240">
        <v>71.2</v>
      </c>
      <c r="Q240" t="s">
        <v>422</v>
      </c>
      <c r="R240">
        <v>37</v>
      </c>
      <c r="S240">
        <v>57.3</v>
      </c>
      <c r="T240">
        <v>0.6</v>
      </c>
      <c r="U240">
        <v>4.9000000000000004</v>
      </c>
      <c r="V240">
        <v>0.1</v>
      </c>
      <c r="W240">
        <v>0</v>
      </c>
      <c r="X240">
        <v>0.43</v>
      </c>
      <c r="Y240">
        <v>0.67</v>
      </c>
      <c r="Z240">
        <v>0.01</v>
      </c>
      <c r="AA240">
        <v>0.06</v>
      </c>
      <c r="AB240">
        <v>0</v>
      </c>
      <c r="AC240">
        <v>0</v>
      </c>
      <c r="AD240">
        <v>3.5</v>
      </c>
      <c r="AE240">
        <v>168.1</v>
      </c>
    </row>
    <row r="241" spans="1:31" x14ac:dyDescent="0.25">
      <c r="A241" t="str">
        <f t="shared" si="7"/>
        <v>D2</v>
      </c>
      <c r="B241">
        <v>2</v>
      </c>
      <c r="C241" s="48" t="s">
        <v>45</v>
      </c>
      <c r="D241" t="s">
        <v>419</v>
      </c>
      <c r="E241" s="35" t="s">
        <v>49</v>
      </c>
      <c r="F241" s="35">
        <v>1041</v>
      </c>
      <c r="G241" s="35">
        <v>22</v>
      </c>
      <c r="H241">
        <v>2.61</v>
      </c>
      <c r="I241">
        <v>2.66</v>
      </c>
      <c r="J241">
        <v>3.6</v>
      </c>
      <c r="K241">
        <v>0.187</v>
      </c>
      <c r="L241">
        <v>1.35</v>
      </c>
      <c r="M241">
        <v>19.29</v>
      </c>
      <c r="N241">
        <v>151</v>
      </c>
      <c r="O241">
        <v>16</v>
      </c>
      <c r="P241">
        <v>70.2</v>
      </c>
      <c r="Q241">
        <v>202</v>
      </c>
      <c r="R241">
        <v>81.900000000000006</v>
      </c>
      <c r="S241">
        <v>15.5</v>
      </c>
      <c r="T241">
        <v>0.5</v>
      </c>
      <c r="U241">
        <v>1.3</v>
      </c>
      <c r="V241">
        <v>0.1</v>
      </c>
      <c r="W241">
        <v>0.7</v>
      </c>
      <c r="X241">
        <v>2.14</v>
      </c>
      <c r="Y241">
        <v>0.4</v>
      </c>
      <c r="Z241">
        <v>0.01</v>
      </c>
      <c r="AA241">
        <v>0.03</v>
      </c>
      <c r="AB241">
        <v>0</v>
      </c>
      <c r="AC241">
        <v>0.02</v>
      </c>
      <c r="AD241">
        <v>5.8</v>
      </c>
      <c r="AE241">
        <v>154.9</v>
      </c>
    </row>
    <row r="242" spans="1:31" x14ac:dyDescent="0.25">
      <c r="A242" t="str">
        <f t="shared" si="7"/>
        <v>E2</v>
      </c>
      <c r="B242">
        <v>2</v>
      </c>
      <c r="C242" s="48" t="s">
        <v>47</v>
      </c>
      <c r="D242" t="s">
        <v>419</v>
      </c>
      <c r="E242" s="35" t="s">
        <v>49</v>
      </c>
      <c r="F242" s="35">
        <v>1260.5999999999999</v>
      </c>
      <c r="G242" s="35">
        <v>22</v>
      </c>
      <c r="H242">
        <v>1.27</v>
      </c>
      <c r="I242">
        <v>3.95</v>
      </c>
      <c r="J242">
        <v>5.6</v>
      </c>
      <c r="K242">
        <v>0.29699999999999999</v>
      </c>
      <c r="L242">
        <v>1.42</v>
      </c>
      <c r="M242">
        <v>18.91</v>
      </c>
      <c r="N242">
        <v>221</v>
      </c>
      <c r="O242">
        <v>13.1</v>
      </c>
      <c r="P242">
        <v>75.099999999999994</v>
      </c>
      <c r="Q242">
        <v>210</v>
      </c>
      <c r="R242">
        <v>19.100000000000001</v>
      </c>
      <c r="S242">
        <v>75.2</v>
      </c>
      <c r="T242">
        <v>0.6</v>
      </c>
      <c r="U242">
        <v>5.2</v>
      </c>
      <c r="V242">
        <v>0</v>
      </c>
      <c r="W242">
        <v>0</v>
      </c>
      <c r="X242">
        <v>0.24</v>
      </c>
      <c r="Y242">
        <v>0.96</v>
      </c>
      <c r="Z242">
        <v>0.01</v>
      </c>
      <c r="AA242">
        <v>7.0000000000000007E-2</v>
      </c>
      <c r="AB242">
        <v>0</v>
      </c>
      <c r="AC242">
        <v>0</v>
      </c>
      <c r="AD242">
        <v>4.5999999999999996</v>
      </c>
      <c r="AE242">
        <v>180.5</v>
      </c>
    </row>
    <row r="243" spans="1:31" x14ac:dyDescent="0.25">
      <c r="A243" t="str">
        <f t="shared" si="7"/>
        <v>F2</v>
      </c>
      <c r="B243">
        <v>2</v>
      </c>
      <c r="C243" s="48" t="s">
        <v>49</v>
      </c>
      <c r="D243" t="s">
        <v>418</v>
      </c>
      <c r="E243" s="35" t="s">
        <v>60</v>
      </c>
      <c r="F243" s="35">
        <v>1189</v>
      </c>
      <c r="G243" s="35">
        <v>22</v>
      </c>
    </row>
    <row r="244" spans="1:31" x14ac:dyDescent="0.25">
      <c r="A244" t="str">
        <f t="shared" si="7"/>
        <v>G2</v>
      </c>
      <c r="B244">
        <v>2</v>
      </c>
      <c r="C244" s="48" t="s">
        <v>51</v>
      </c>
      <c r="D244" t="s">
        <v>421</v>
      </c>
      <c r="E244" s="35" t="s">
        <v>49</v>
      </c>
      <c r="F244" s="35">
        <v>1387</v>
      </c>
      <c r="G244" s="35">
        <v>22</v>
      </c>
      <c r="H244">
        <v>3.4</v>
      </c>
      <c r="I244">
        <v>4.67</v>
      </c>
      <c r="J244">
        <v>6.4</v>
      </c>
      <c r="K244">
        <v>0.35399999999999998</v>
      </c>
      <c r="L244">
        <v>1.37</v>
      </c>
      <c r="M244">
        <v>18.059999999999999</v>
      </c>
      <c r="N244">
        <v>293</v>
      </c>
      <c r="O244">
        <v>15.7</v>
      </c>
      <c r="P244">
        <v>75.7</v>
      </c>
      <c r="Q244">
        <v>216</v>
      </c>
      <c r="R244">
        <v>57.7</v>
      </c>
      <c r="S244">
        <v>40.1</v>
      </c>
      <c r="T244">
        <v>0.8</v>
      </c>
      <c r="U244">
        <v>1</v>
      </c>
      <c r="V244">
        <v>0.2</v>
      </c>
      <c r="W244">
        <v>0.2</v>
      </c>
      <c r="X244">
        <v>1.96</v>
      </c>
      <c r="Y244">
        <v>1.36</v>
      </c>
      <c r="Z244">
        <v>0.03</v>
      </c>
      <c r="AA244">
        <v>0.04</v>
      </c>
      <c r="AB244">
        <v>0.01</v>
      </c>
      <c r="AC244">
        <v>0.01</v>
      </c>
      <c r="AD244">
        <v>4.4000000000000004</v>
      </c>
      <c r="AE244">
        <v>206</v>
      </c>
    </row>
    <row r="245" spans="1:31" x14ac:dyDescent="0.25">
      <c r="A245" t="str">
        <f t="shared" si="7"/>
        <v>H2</v>
      </c>
      <c r="B245">
        <v>2</v>
      </c>
      <c r="C245" s="48" t="s">
        <v>53</v>
      </c>
      <c r="D245" t="s">
        <v>418</v>
      </c>
      <c r="E245" s="35" t="s">
        <v>60</v>
      </c>
      <c r="F245" s="35">
        <v>1243</v>
      </c>
      <c r="G245" s="35">
        <v>22</v>
      </c>
    </row>
    <row r="246" spans="1:31" x14ac:dyDescent="0.25">
      <c r="A246" t="str">
        <f t="shared" si="7"/>
        <v>I2</v>
      </c>
      <c r="B246">
        <v>2</v>
      </c>
      <c r="C246" s="48" t="s">
        <v>56</v>
      </c>
      <c r="D246" t="s">
        <v>421</v>
      </c>
      <c r="E246" s="35" t="s">
        <v>60</v>
      </c>
      <c r="F246" s="35">
        <v>1015.2</v>
      </c>
      <c r="G246" s="35">
        <v>22</v>
      </c>
      <c r="H246">
        <v>2.5499999999999998</v>
      </c>
      <c r="I246">
        <v>4.41</v>
      </c>
      <c r="J246">
        <v>5.7</v>
      </c>
      <c r="K246">
        <v>0.313</v>
      </c>
      <c r="L246">
        <v>1.3</v>
      </c>
      <c r="M246">
        <v>18.350000000000001</v>
      </c>
      <c r="N246">
        <v>345</v>
      </c>
      <c r="O246">
        <v>14.7</v>
      </c>
      <c r="P246">
        <v>71</v>
      </c>
      <c r="Q246">
        <v>220</v>
      </c>
      <c r="R246">
        <v>40.299999999999997</v>
      </c>
      <c r="S246">
        <v>58.1</v>
      </c>
      <c r="T246">
        <v>0.5</v>
      </c>
      <c r="U246">
        <v>1</v>
      </c>
      <c r="V246">
        <v>0.1</v>
      </c>
      <c r="W246">
        <v>0.1</v>
      </c>
      <c r="X246">
        <v>1.03</v>
      </c>
      <c r="Y246">
        <v>1.48</v>
      </c>
      <c r="Z246">
        <v>0.01</v>
      </c>
      <c r="AA246">
        <v>0.02</v>
      </c>
      <c r="AB246">
        <v>0</v>
      </c>
      <c r="AC246">
        <v>0</v>
      </c>
      <c r="AD246">
        <v>4.4000000000000004</v>
      </c>
      <c r="AE246">
        <v>192.6</v>
      </c>
    </row>
    <row r="247" spans="1:31" x14ac:dyDescent="0.25">
      <c r="A247" t="str">
        <f t="shared" si="7"/>
        <v>J2</v>
      </c>
      <c r="B247">
        <v>2</v>
      </c>
      <c r="C247" s="48" t="s">
        <v>80</v>
      </c>
      <c r="D247" t="s">
        <v>417</v>
      </c>
      <c r="E247" s="35" t="s">
        <v>49</v>
      </c>
      <c r="F247" s="35">
        <v>678</v>
      </c>
      <c r="G247" s="35">
        <v>22</v>
      </c>
      <c r="H247">
        <v>1.86</v>
      </c>
      <c r="I247">
        <v>3.29</v>
      </c>
      <c r="J247">
        <v>4.4000000000000004</v>
      </c>
      <c r="K247">
        <v>0.23699999999999999</v>
      </c>
      <c r="L247">
        <v>1.33</v>
      </c>
      <c r="M247">
        <v>18.48</v>
      </c>
      <c r="N247">
        <v>155</v>
      </c>
      <c r="O247">
        <v>13.1</v>
      </c>
      <c r="P247">
        <v>72</v>
      </c>
      <c r="Q247">
        <v>209</v>
      </c>
      <c r="R247">
        <v>43.3</v>
      </c>
      <c r="S247">
        <v>54.3</v>
      </c>
      <c r="T247">
        <v>0</v>
      </c>
      <c r="U247">
        <v>2.4</v>
      </c>
      <c r="V247">
        <v>0</v>
      </c>
      <c r="W247">
        <v>0</v>
      </c>
      <c r="X247">
        <v>0.8</v>
      </c>
      <c r="Y247">
        <v>1.01</v>
      </c>
      <c r="Z247">
        <v>0</v>
      </c>
      <c r="AA247">
        <v>0.04</v>
      </c>
      <c r="AB247">
        <v>0</v>
      </c>
      <c r="AC247">
        <v>0</v>
      </c>
      <c r="AD247">
        <v>4.9000000000000004</v>
      </c>
      <c r="AE247">
        <v>162.5</v>
      </c>
    </row>
    <row r="248" spans="1:31" x14ac:dyDescent="0.25">
      <c r="A248" t="str">
        <f t="shared" si="7"/>
        <v>K2</v>
      </c>
      <c r="B248">
        <v>2</v>
      </c>
      <c r="C248" s="48" t="s">
        <v>82</v>
      </c>
      <c r="D248" t="s">
        <v>419</v>
      </c>
      <c r="E248" s="35" t="s">
        <v>60</v>
      </c>
      <c r="F248" s="35">
        <v>1405</v>
      </c>
      <c r="G248" s="35">
        <v>22</v>
      </c>
      <c r="H248">
        <v>1.5</v>
      </c>
      <c r="I248">
        <v>3.62</v>
      </c>
      <c r="J248">
        <v>5.3</v>
      </c>
      <c r="K248">
        <v>0.27400000000000002</v>
      </c>
      <c r="L248">
        <v>1.45</v>
      </c>
      <c r="M248">
        <v>19.170000000000002</v>
      </c>
      <c r="N248">
        <v>217</v>
      </c>
      <c r="O248">
        <v>12.3</v>
      </c>
      <c r="P248">
        <v>75.7</v>
      </c>
      <c r="Q248">
        <v>210</v>
      </c>
      <c r="R248">
        <v>62.8</v>
      </c>
      <c r="S248">
        <v>35</v>
      </c>
      <c r="T248">
        <v>0.1</v>
      </c>
      <c r="U248">
        <v>1.5</v>
      </c>
      <c r="V248">
        <v>0.4</v>
      </c>
      <c r="W248">
        <v>0.1</v>
      </c>
      <c r="X248">
        <v>0.94</v>
      </c>
      <c r="Y248">
        <v>0.53</v>
      </c>
      <c r="Z248">
        <v>0</v>
      </c>
      <c r="AA248">
        <v>0.02</v>
      </c>
      <c r="AB248">
        <v>0.01</v>
      </c>
      <c r="AC248">
        <v>0</v>
      </c>
      <c r="AD248">
        <v>4.9000000000000004</v>
      </c>
      <c r="AE248">
        <v>176.4</v>
      </c>
    </row>
    <row r="249" spans="1:31" x14ac:dyDescent="0.25">
      <c r="A249" t="str">
        <f t="shared" si="7"/>
        <v>L2</v>
      </c>
      <c r="B249">
        <v>2</v>
      </c>
      <c r="C249" s="48" t="s">
        <v>58</v>
      </c>
      <c r="D249" t="s">
        <v>420</v>
      </c>
      <c r="E249" s="35" t="s">
        <v>60</v>
      </c>
      <c r="F249" s="35">
        <v>1202.8</v>
      </c>
      <c r="G249" s="35">
        <v>22</v>
      </c>
      <c r="H249">
        <v>3.43</v>
      </c>
      <c r="I249">
        <v>3.99</v>
      </c>
      <c r="J249">
        <v>6.1</v>
      </c>
      <c r="K249">
        <v>0.32</v>
      </c>
      <c r="L249">
        <v>1.52</v>
      </c>
      <c r="M249">
        <v>18.97</v>
      </c>
      <c r="N249">
        <v>391</v>
      </c>
      <c r="O249">
        <v>11.8</v>
      </c>
      <c r="P249">
        <v>80.2</v>
      </c>
      <c r="Q249">
        <v>224</v>
      </c>
      <c r="R249">
        <v>33.700000000000003</v>
      </c>
      <c r="S249">
        <v>63.9</v>
      </c>
      <c r="T249">
        <v>0.7</v>
      </c>
      <c r="U249">
        <v>1.7</v>
      </c>
      <c r="V249">
        <v>0</v>
      </c>
      <c r="W249">
        <v>0</v>
      </c>
      <c r="X249">
        <v>1.1599999999999999</v>
      </c>
      <c r="Y249">
        <v>2.19</v>
      </c>
      <c r="Z249">
        <v>0.02</v>
      </c>
      <c r="AA249">
        <v>0.06</v>
      </c>
      <c r="AB249">
        <v>0</v>
      </c>
      <c r="AC249">
        <v>0</v>
      </c>
      <c r="AD249">
        <v>5.0999999999999996</v>
      </c>
      <c r="AE249">
        <v>205.3</v>
      </c>
    </row>
    <row r="250" spans="1:31" x14ac:dyDescent="0.25">
      <c r="A250" t="str">
        <f t="shared" si="7"/>
        <v>M2</v>
      </c>
      <c r="B250">
        <v>2</v>
      </c>
      <c r="C250" s="48" t="s">
        <v>60</v>
      </c>
      <c r="D250" t="s">
        <v>417</v>
      </c>
      <c r="E250" s="35" t="s">
        <v>60</v>
      </c>
      <c r="F250" s="35">
        <v>1261</v>
      </c>
      <c r="G250" s="35">
        <v>22</v>
      </c>
      <c r="H250">
        <v>1.74</v>
      </c>
      <c r="I250">
        <v>4.07</v>
      </c>
      <c r="J250">
        <v>5.9</v>
      </c>
      <c r="K250">
        <v>0.30099999999999999</v>
      </c>
      <c r="L250">
        <v>1.45</v>
      </c>
      <c r="M250">
        <v>19.52</v>
      </c>
      <c r="N250">
        <v>195</v>
      </c>
      <c r="O250">
        <v>14</v>
      </c>
      <c r="P250">
        <v>74.099999999999994</v>
      </c>
      <c r="Q250">
        <v>215</v>
      </c>
      <c r="R250">
        <v>45.6</v>
      </c>
      <c r="S250">
        <v>50.7</v>
      </c>
      <c r="T250">
        <v>0.1</v>
      </c>
      <c r="U250">
        <v>3.5</v>
      </c>
      <c r="V250">
        <v>0</v>
      </c>
      <c r="W250">
        <v>0.1</v>
      </c>
      <c r="X250">
        <v>0.79</v>
      </c>
      <c r="Y250">
        <v>0.88</v>
      </c>
      <c r="Z250">
        <v>0</v>
      </c>
      <c r="AA250">
        <v>0.06</v>
      </c>
      <c r="AB250">
        <v>0</v>
      </c>
      <c r="AC250">
        <v>0</v>
      </c>
      <c r="AD250">
        <v>4.0999999999999996</v>
      </c>
      <c r="AE250">
        <v>168.1</v>
      </c>
    </row>
    <row r="251" spans="1:31" x14ac:dyDescent="0.25">
      <c r="A251" t="str">
        <f t="shared" si="7"/>
        <v>N2</v>
      </c>
      <c r="B251">
        <v>2</v>
      </c>
      <c r="C251" s="48" t="s">
        <v>62</v>
      </c>
      <c r="D251" t="s">
        <v>418</v>
      </c>
      <c r="E251" s="35" t="s">
        <v>60</v>
      </c>
      <c r="F251" s="35">
        <v>791</v>
      </c>
      <c r="G251" s="35">
        <v>22</v>
      </c>
    </row>
    <row r="252" spans="1:31" x14ac:dyDescent="0.25">
      <c r="A252" t="str">
        <f t="shared" si="7"/>
        <v>O2</v>
      </c>
      <c r="B252">
        <v>2</v>
      </c>
      <c r="C252" s="48" t="s">
        <v>64</v>
      </c>
      <c r="D252" t="s">
        <v>420</v>
      </c>
      <c r="E252" s="35" t="s">
        <v>60</v>
      </c>
      <c r="F252" s="35">
        <v>1031</v>
      </c>
      <c r="G252" s="35">
        <v>22</v>
      </c>
      <c r="H252">
        <v>3.31</v>
      </c>
      <c r="I252">
        <v>3.63</v>
      </c>
      <c r="J252">
        <v>5</v>
      </c>
      <c r="K252">
        <v>0.26</v>
      </c>
      <c r="L252">
        <v>1.38</v>
      </c>
      <c r="M252">
        <v>19.239999999999998</v>
      </c>
      <c r="N252">
        <v>370</v>
      </c>
      <c r="O252">
        <v>14.6</v>
      </c>
      <c r="P252">
        <v>71.8</v>
      </c>
      <c r="Q252">
        <v>216</v>
      </c>
      <c r="R252">
        <v>30.1</v>
      </c>
      <c r="S252">
        <v>66.8</v>
      </c>
      <c r="T252">
        <v>0.3</v>
      </c>
      <c r="U252">
        <v>2.6</v>
      </c>
      <c r="V252">
        <v>0</v>
      </c>
      <c r="W252">
        <v>0.3</v>
      </c>
      <c r="X252">
        <v>1</v>
      </c>
      <c r="Y252">
        <v>2.21</v>
      </c>
      <c r="Z252">
        <v>0.01</v>
      </c>
      <c r="AA252">
        <v>0.09</v>
      </c>
      <c r="AB252">
        <v>0</v>
      </c>
      <c r="AC252">
        <v>0.01</v>
      </c>
      <c r="AD252">
        <v>5.4</v>
      </c>
      <c r="AE252">
        <v>194.2</v>
      </c>
    </row>
    <row r="253" spans="1:31" x14ac:dyDescent="0.25">
      <c r="A253" t="str">
        <f t="shared" si="7"/>
        <v>P2</v>
      </c>
      <c r="B253">
        <v>2</v>
      </c>
      <c r="C253" s="48" t="s">
        <v>66</v>
      </c>
      <c r="D253" t="s">
        <v>417</v>
      </c>
      <c r="E253" s="35" t="s">
        <v>49</v>
      </c>
      <c r="F253" s="35">
        <v>1098.7</v>
      </c>
      <c r="G253" s="35">
        <v>22</v>
      </c>
      <c r="H253">
        <v>1.89</v>
      </c>
      <c r="I253">
        <v>4.5599999999999996</v>
      </c>
      <c r="J253">
        <v>6.7</v>
      </c>
      <c r="K253">
        <v>0.35099999999999998</v>
      </c>
      <c r="L253">
        <v>1.47</v>
      </c>
      <c r="M253">
        <v>19.02</v>
      </c>
      <c r="N253">
        <v>237</v>
      </c>
      <c r="O253">
        <v>11.9</v>
      </c>
      <c r="P253">
        <v>77.099999999999994</v>
      </c>
      <c r="Q253">
        <v>208</v>
      </c>
      <c r="R253">
        <v>69.099999999999994</v>
      </c>
      <c r="S253">
        <v>27</v>
      </c>
      <c r="T253">
        <v>0.7</v>
      </c>
      <c r="U253">
        <v>2.7</v>
      </c>
      <c r="V253">
        <v>0.2</v>
      </c>
      <c r="W253">
        <v>0.3</v>
      </c>
      <c r="X253">
        <v>1.31</v>
      </c>
      <c r="Y253">
        <v>0.51</v>
      </c>
      <c r="Z253">
        <v>0.01</v>
      </c>
      <c r="AA253">
        <v>0.05</v>
      </c>
      <c r="AB253">
        <v>0</v>
      </c>
      <c r="AC253">
        <v>0.01</v>
      </c>
      <c r="AD253">
        <v>4.5999999999999996</v>
      </c>
      <c r="AE253">
        <v>209</v>
      </c>
    </row>
    <row r="254" spans="1:31" x14ac:dyDescent="0.25">
      <c r="A254" t="str">
        <f t="shared" si="7"/>
        <v>Q2</v>
      </c>
      <c r="B254">
        <v>2</v>
      </c>
      <c r="C254" s="48" t="s">
        <v>385</v>
      </c>
      <c r="D254" t="s">
        <v>418</v>
      </c>
      <c r="E254" s="35" t="s">
        <v>49</v>
      </c>
      <c r="F254" s="35">
        <v>793.5</v>
      </c>
      <c r="G254" s="35">
        <v>22</v>
      </c>
      <c r="H254">
        <v>0.56000000000000005</v>
      </c>
      <c r="I254">
        <v>3.56</v>
      </c>
      <c r="J254">
        <v>4.7</v>
      </c>
      <c r="K254">
        <v>0.248</v>
      </c>
      <c r="L254">
        <v>1.33</v>
      </c>
      <c r="M254">
        <v>19.079999999999998</v>
      </c>
      <c r="N254">
        <v>123</v>
      </c>
      <c r="O254">
        <v>15.3</v>
      </c>
      <c r="P254">
        <v>69.5</v>
      </c>
      <c r="Q254">
        <v>201</v>
      </c>
      <c r="R254">
        <v>65</v>
      </c>
      <c r="S254">
        <v>31.4</v>
      </c>
      <c r="T254">
        <v>0.8</v>
      </c>
      <c r="U254">
        <v>2.5</v>
      </c>
      <c r="V254">
        <v>0.2</v>
      </c>
      <c r="W254">
        <v>0</v>
      </c>
      <c r="X254">
        <v>0.36</v>
      </c>
      <c r="Y254">
        <v>0.18</v>
      </c>
      <c r="Z254">
        <v>0</v>
      </c>
      <c r="AA254">
        <v>0.01</v>
      </c>
      <c r="AB254">
        <v>0</v>
      </c>
      <c r="AC254">
        <v>0</v>
      </c>
      <c r="AD254">
        <v>4.0999999999999996</v>
      </c>
      <c r="AE254">
        <v>146</v>
      </c>
    </row>
    <row r="255" spans="1:31" x14ac:dyDescent="0.25">
      <c r="A255" t="str">
        <f t="shared" si="7"/>
        <v>R2</v>
      </c>
      <c r="B255">
        <v>2</v>
      </c>
      <c r="C255" s="48" t="s">
        <v>68</v>
      </c>
      <c r="D255" t="s">
        <v>418</v>
      </c>
      <c r="E255" s="35" t="s">
        <v>49</v>
      </c>
      <c r="F255" s="35">
        <v>1303</v>
      </c>
      <c r="G255" s="35">
        <v>22</v>
      </c>
    </row>
    <row r="256" spans="1:31" x14ac:dyDescent="0.25">
      <c r="A256" t="str">
        <f t="shared" si="7"/>
        <v>S2</v>
      </c>
      <c r="B256">
        <v>2</v>
      </c>
      <c r="C256" s="48" t="s">
        <v>70</v>
      </c>
      <c r="D256" t="s">
        <v>417</v>
      </c>
      <c r="E256" s="35" t="s">
        <v>60</v>
      </c>
      <c r="F256" s="35">
        <v>1327</v>
      </c>
      <c r="G256" s="35">
        <v>22</v>
      </c>
      <c r="H256">
        <v>2.0099999999999998</v>
      </c>
      <c r="I256">
        <v>3.53</v>
      </c>
      <c r="J256">
        <v>5.0999999999999996</v>
      </c>
      <c r="K256">
        <v>0.28000000000000003</v>
      </c>
      <c r="L256">
        <v>1.44</v>
      </c>
      <c r="M256">
        <v>18.07</v>
      </c>
      <c r="N256">
        <v>201</v>
      </c>
      <c r="O256">
        <v>13.9</v>
      </c>
      <c r="P256">
        <v>79.5</v>
      </c>
      <c r="Q256">
        <v>209</v>
      </c>
      <c r="R256">
        <v>61.3</v>
      </c>
      <c r="S256">
        <v>36.5</v>
      </c>
      <c r="T256">
        <v>0.2</v>
      </c>
      <c r="U256">
        <v>1.4</v>
      </c>
      <c r="V256">
        <v>0.3</v>
      </c>
      <c r="W256">
        <v>0.4</v>
      </c>
      <c r="X256">
        <v>1.23</v>
      </c>
      <c r="Y256">
        <v>0.73</v>
      </c>
      <c r="Z256">
        <v>0</v>
      </c>
      <c r="AA256">
        <v>0.03</v>
      </c>
      <c r="AB256">
        <v>0.01</v>
      </c>
      <c r="AC256">
        <v>0.01</v>
      </c>
      <c r="AD256">
        <v>5.5</v>
      </c>
      <c r="AE256">
        <v>193.1</v>
      </c>
    </row>
    <row r="257" spans="1:31" x14ac:dyDescent="0.25">
      <c r="A257" t="str">
        <f t="shared" si="7"/>
        <v>T2</v>
      </c>
      <c r="B257">
        <v>2</v>
      </c>
      <c r="C257" s="48" t="s">
        <v>386</v>
      </c>
      <c r="D257" t="s">
        <v>421</v>
      </c>
      <c r="E257" s="35" t="s">
        <v>60</v>
      </c>
      <c r="F257" s="35">
        <v>1193</v>
      </c>
      <c r="G257" s="35">
        <v>22</v>
      </c>
      <c r="H257">
        <v>2.02</v>
      </c>
      <c r="I257">
        <v>1.99</v>
      </c>
      <c r="J257">
        <v>2.9</v>
      </c>
      <c r="K257">
        <v>0.152</v>
      </c>
      <c r="L257">
        <v>1.44</v>
      </c>
      <c r="M257">
        <v>18.86</v>
      </c>
      <c r="N257">
        <v>180</v>
      </c>
      <c r="O257">
        <v>17.5</v>
      </c>
      <c r="P257">
        <v>76.3</v>
      </c>
      <c r="Q257">
        <v>189</v>
      </c>
      <c r="R257">
        <v>47.6</v>
      </c>
      <c r="S257">
        <v>49.6</v>
      </c>
      <c r="T257">
        <v>0.6</v>
      </c>
      <c r="U257">
        <v>2</v>
      </c>
      <c r="V257">
        <v>0.1</v>
      </c>
      <c r="W257">
        <v>0</v>
      </c>
      <c r="X257">
        <v>0.96</v>
      </c>
      <c r="Y257">
        <v>1</v>
      </c>
      <c r="Z257">
        <v>0.01</v>
      </c>
      <c r="AA257">
        <v>0.04</v>
      </c>
      <c r="AB257">
        <v>0</v>
      </c>
      <c r="AC257">
        <v>0</v>
      </c>
      <c r="AD257">
        <v>2.7</v>
      </c>
      <c r="AE257">
        <v>54.3</v>
      </c>
    </row>
    <row r="258" spans="1:31" x14ac:dyDescent="0.25">
      <c r="A258" t="str">
        <f t="shared" si="7"/>
        <v>U2</v>
      </c>
      <c r="B258">
        <v>2</v>
      </c>
      <c r="C258" s="48" t="s">
        <v>388</v>
      </c>
      <c r="D258" t="s">
        <v>419</v>
      </c>
      <c r="E258" s="35" t="s">
        <v>60</v>
      </c>
      <c r="F258" s="35">
        <v>741.5</v>
      </c>
      <c r="G258" s="35">
        <v>22</v>
      </c>
      <c r="H258">
        <v>4.9400000000000004</v>
      </c>
      <c r="I258">
        <v>2.93</v>
      </c>
      <c r="J258">
        <v>4.9000000000000004</v>
      </c>
      <c r="K258">
        <v>0.25800000000000001</v>
      </c>
      <c r="L258">
        <v>1.67</v>
      </c>
      <c r="M258">
        <v>18.95</v>
      </c>
      <c r="N258">
        <v>175</v>
      </c>
      <c r="O258">
        <v>17.899999999999999</v>
      </c>
      <c r="P258">
        <v>88</v>
      </c>
      <c r="Q258">
        <v>159</v>
      </c>
      <c r="R258">
        <v>25.6</v>
      </c>
      <c r="S258">
        <v>69.900000000000006</v>
      </c>
      <c r="T258">
        <v>0.4</v>
      </c>
      <c r="U258">
        <v>2.6</v>
      </c>
      <c r="V258">
        <v>0.8</v>
      </c>
      <c r="W258">
        <v>0.6</v>
      </c>
      <c r="X258">
        <v>1.26</v>
      </c>
      <c r="Y258">
        <v>3.45</v>
      </c>
      <c r="Z258">
        <v>0.02</v>
      </c>
      <c r="AA258">
        <v>0.13</v>
      </c>
      <c r="AB258">
        <v>0.04</v>
      </c>
      <c r="AC258">
        <v>0.03</v>
      </c>
      <c r="AD258">
        <v>0.6</v>
      </c>
      <c r="AE258">
        <v>18.2</v>
      </c>
    </row>
    <row r="259" spans="1:31" x14ac:dyDescent="0.25">
      <c r="A259" t="str">
        <f t="shared" si="7"/>
        <v>V2</v>
      </c>
      <c r="B259">
        <v>2</v>
      </c>
      <c r="C259" s="48" t="s">
        <v>389</v>
      </c>
      <c r="D259" t="s">
        <v>419</v>
      </c>
      <c r="E259" s="35" t="s">
        <v>60</v>
      </c>
      <c r="F259" s="35">
        <v>1281</v>
      </c>
      <c r="G259" s="35">
        <v>22</v>
      </c>
      <c r="H259">
        <v>1.72</v>
      </c>
      <c r="I259">
        <v>3.11</v>
      </c>
      <c r="J259">
        <v>4.0999999999999996</v>
      </c>
      <c r="K259">
        <v>0.219</v>
      </c>
      <c r="L259">
        <v>1.33</v>
      </c>
      <c r="M259">
        <v>18.78</v>
      </c>
      <c r="N259">
        <v>193</v>
      </c>
      <c r="O259">
        <v>14.5</v>
      </c>
      <c r="P259">
        <v>70.599999999999994</v>
      </c>
      <c r="Q259">
        <v>208</v>
      </c>
      <c r="R259">
        <v>67</v>
      </c>
      <c r="S259">
        <v>30.2</v>
      </c>
      <c r="T259">
        <v>0</v>
      </c>
      <c r="U259">
        <v>2.5</v>
      </c>
      <c r="V259">
        <v>0.1</v>
      </c>
      <c r="W259">
        <v>0.1</v>
      </c>
      <c r="X259">
        <v>1.1499999999999999</v>
      </c>
      <c r="Y259">
        <v>0.52</v>
      </c>
      <c r="Z259">
        <v>0</v>
      </c>
      <c r="AA259">
        <v>0.04</v>
      </c>
      <c r="AB259">
        <v>0</v>
      </c>
      <c r="AC259">
        <v>0</v>
      </c>
      <c r="AD259">
        <v>4.9000000000000004</v>
      </c>
      <c r="AE259">
        <v>150.69999999999999</v>
      </c>
    </row>
    <row r="260" spans="1:31" x14ac:dyDescent="0.25">
      <c r="A260" t="str">
        <f t="shared" si="7"/>
        <v>X2</v>
      </c>
      <c r="B260">
        <v>2</v>
      </c>
      <c r="C260" s="48" t="s">
        <v>390</v>
      </c>
      <c r="D260" t="s">
        <v>419</v>
      </c>
      <c r="E260" s="35" t="s">
        <v>60</v>
      </c>
      <c r="F260" s="35">
        <v>1111</v>
      </c>
      <c r="G260" s="35">
        <v>22</v>
      </c>
      <c r="H260">
        <v>1.5</v>
      </c>
      <c r="I260">
        <v>3.4</v>
      </c>
      <c r="J260">
        <v>4.7</v>
      </c>
      <c r="K260">
        <v>0.24399999999999999</v>
      </c>
      <c r="L260">
        <v>1.39</v>
      </c>
      <c r="M260">
        <v>19.39</v>
      </c>
      <c r="N260">
        <v>237</v>
      </c>
      <c r="O260">
        <v>16.899999999999999</v>
      </c>
      <c r="P260">
        <v>71.8</v>
      </c>
      <c r="Q260">
        <v>199</v>
      </c>
      <c r="R260">
        <v>68.8</v>
      </c>
      <c r="S260">
        <v>29.8</v>
      </c>
      <c r="T260">
        <v>0.1</v>
      </c>
      <c r="U260">
        <v>1.1000000000000001</v>
      </c>
      <c r="V260">
        <v>0.2</v>
      </c>
      <c r="W260">
        <v>0</v>
      </c>
      <c r="X260">
        <v>1.03</v>
      </c>
      <c r="Y260">
        <v>0.45</v>
      </c>
      <c r="Z260">
        <v>0</v>
      </c>
      <c r="AA260">
        <v>0.02</v>
      </c>
      <c r="AB260">
        <v>0</v>
      </c>
      <c r="AC260">
        <v>0</v>
      </c>
      <c r="AD260">
        <v>4.5999999999999996</v>
      </c>
      <c r="AE260">
        <v>156.19999999999999</v>
      </c>
    </row>
    <row r="261" spans="1:31" x14ac:dyDescent="0.25">
      <c r="A261" t="str">
        <f t="shared" si="7"/>
        <v>Y2</v>
      </c>
      <c r="B261">
        <v>2</v>
      </c>
      <c r="C261" s="48" t="s">
        <v>384</v>
      </c>
      <c r="D261" t="s">
        <v>418</v>
      </c>
      <c r="E261" s="35" t="s">
        <v>60</v>
      </c>
      <c r="F261" s="35">
        <v>1340.4</v>
      </c>
      <c r="G261" s="35">
        <v>22</v>
      </c>
      <c r="H261">
        <v>0.7</v>
      </c>
      <c r="I261">
        <v>3.84</v>
      </c>
      <c r="J261">
        <v>5.0999999999999996</v>
      </c>
      <c r="K261">
        <v>0.28399999999999997</v>
      </c>
      <c r="L261">
        <v>1.34</v>
      </c>
      <c r="M261">
        <v>18.079999999999998</v>
      </c>
      <c r="N261">
        <v>156</v>
      </c>
      <c r="O261">
        <v>15.5</v>
      </c>
      <c r="P261">
        <v>73.900000000000006</v>
      </c>
      <c r="Q261">
        <v>209</v>
      </c>
      <c r="R261">
        <v>38.4</v>
      </c>
      <c r="S261">
        <v>52.5</v>
      </c>
      <c r="T261">
        <v>1.8</v>
      </c>
      <c r="U261">
        <v>7.1</v>
      </c>
      <c r="V261">
        <v>0.2</v>
      </c>
      <c r="W261">
        <v>0</v>
      </c>
      <c r="X261">
        <v>0.27</v>
      </c>
      <c r="Y261">
        <v>0.37</v>
      </c>
      <c r="Z261">
        <v>0.01</v>
      </c>
      <c r="AA261">
        <v>0.05</v>
      </c>
      <c r="AB261">
        <v>0</v>
      </c>
      <c r="AC261">
        <v>0</v>
      </c>
      <c r="AD261">
        <v>4.5</v>
      </c>
      <c r="AE261">
        <v>173.5</v>
      </c>
    </row>
    <row r="262" spans="1:31" x14ac:dyDescent="0.25">
      <c r="A262" t="str">
        <f t="shared" si="7"/>
        <v>Z2</v>
      </c>
      <c r="B262">
        <v>2</v>
      </c>
      <c r="C262" s="48" t="s">
        <v>387</v>
      </c>
      <c r="D262" t="s">
        <v>417</v>
      </c>
      <c r="E262" s="35" t="s">
        <v>49</v>
      </c>
      <c r="F262" s="35">
        <v>1270</v>
      </c>
      <c r="G262" s="35">
        <v>22</v>
      </c>
    </row>
    <row r="263" spans="1:31" x14ac:dyDescent="0.25">
      <c r="A263" t="str">
        <f t="shared" si="7"/>
        <v>Æ2</v>
      </c>
      <c r="B263">
        <v>2</v>
      </c>
      <c r="C263" s="48" t="s">
        <v>202</v>
      </c>
      <c r="D263" t="s">
        <v>417</v>
      </c>
      <c r="E263" s="35" t="s">
        <v>60</v>
      </c>
      <c r="F263" s="35">
        <v>1180.8</v>
      </c>
      <c r="G263" s="35">
        <v>22</v>
      </c>
    </row>
    <row r="264" spans="1:31" x14ac:dyDescent="0.25">
      <c r="A264" t="str">
        <f t="shared" si="7"/>
        <v>Ø2</v>
      </c>
      <c r="B264">
        <v>2</v>
      </c>
      <c r="C264" s="48" t="s">
        <v>175</v>
      </c>
      <c r="D264" t="s">
        <v>420</v>
      </c>
      <c r="E264" s="35" t="s">
        <v>49</v>
      </c>
      <c r="F264" s="35">
        <v>1275</v>
      </c>
      <c r="G264" s="35">
        <v>22</v>
      </c>
      <c r="H264">
        <v>4.67</v>
      </c>
      <c r="I264">
        <v>3.94</v>
      </c>
      <c r="J264">
        <v>5.4</v>
      </c>
      <c r="K264">
        <v>0.28999999999999998</v>
      </c>
      <c r="L264">
        <v>1.37</v>
      </c>
      <c r="M264">
        <v>18.61</v>
      </c>
      <c r="N264">
        <v>253</v>
      </c>
      <c r="O264">
        <v>12.9</v>
      </c>
      <c r="P264">
        <v>73.7</v>
      </c>
      <c r="Q264">
        <v>221</v>
      </c>
      <c r="R264">
        <v>23</v>
      </c>
      <c r="S264">
        <v>75.3</v>
      </c>
      <c r="T264">
        <v>0.6</v>
      </c>
      <c r="U264">
        <v>0.8</v>
      </c>
      <c r="V264">
        <v>0.1</v>
      </c>
      <c r="W264">
        <v>0.1</v>
      </c>
      <c r="X264">
        <v>1.07</v>
      </c>
      <c r="Y264">
        <v>3.52</v>
      </c>
      <c r="Z264">
        <v>0.03</v>
      </c>
      <c r="AA264">
        <v>0.04</v>
      </c>
      <c r="AB264">
        <v>0</v>
      </c>
      <c r="AC264">
        <v>0.01</v>
      </c>
      <c r="AD264">
        <v>7.2</v>
      </c>
      <c r="AE264">
        <v>281.89999999999998</v>
      </c>
    </row>
    <row r="265" spans="1:31" x14ac:dyDescent="0.25">
      <c r="A265" t="str">
        <f t="shared" si="7"/>
        <v>Å2</v>
      </c>
      <c r="B265">
        <v>2</v>
      </c>
      <c r="C265" s="48" t="s">
        <v>145</v>
      </c>
      <c r="D265" t="s">
        <v>419</v>
      </c>
      <c r="E265" s="35" t="s">
        <v>60</v>
      </c>
      <c r="F265" s="35">
        <v>902</v>
      </c>
      <c r="G265" s="35">
        <v>22</v>
      </c>
      <c r="H265">
        <v>1.17</v>
      </c>
      <c r="I265">
        <v>4.3600000000000003</v>
      </c>
      <c r="J265">
        <v>5.8</v>
      </c>
      <c r="K265">
        <v>0.30599999999999999</v>
      </c>
      <c r="L265">
        <v>1.34</v>
      </c>
      <c r="M265">
        <v>19.04</v>
      </c>
      <c r="N265">
        <v>213</v>
      </c>
      <c r="O265">
        <v>16.399999999999999</v>
      </c>
      <c r="P265">
        <v>70.2</v>
      </c>
      <c r="Q265">
        <v>218</v>
      </c>
      <c r="R265">
        <v>68.599999999999994</v>
      </c>
      <c r="S265">
        <v>25.9</v>
      </c>
      <c r="T265">
        <v>0.4</v>
      </c>
      <c r="U265">
        <v>4.9000000000000004</v>
      </c>
      <c r="V265">
        <v>0.1</v>
      </c>
      <c r="W265">
        <v>0.1</v>
      </c>
      <c r="X265">
        <v>0.8</v>
      </c>
      <c r="Y265">
        <v>0.3</v>
      </c>
      <c r="Z265">
        <v>0</v>
      </c>
      <c r="AA265">
        <v>0.06</v>
      </c>
      <c r="AB265">
        <v>0</v>
      </c>
      <c r="AC265">
        <v>0</v>
      </c>
      <c r="AD265">
        <v>4.5</v>
      </c>
      <c r="AE265">
        <v>194.9</v>
      </c>
    </row>
    <row r="266" spans="1:31" x14ac:dyDescent="0.25">
      <c r="A266" s="35" t="s">
        <v>643</v>
      </c>
      <c r="B266">
        <v>3</v>
      </c>
      <c r="C266" s="48" t="s">
        <v>36</v>
      </c>
      <c r="D266" t="s">
        <v>418</v>
      </c>
      <c r="E266" t="s">
        <v>49</v>
      </c>
      <c r="F266">
        <v>725</v>
      </c>
      <c r="G266" s="35">
        <v>22</v>
      </c>
      <c r="H266">
        <v>0.76</v>
      </c>
      <c r="I266">
        <v>2.64</v>
      </c>
      <c r="J266">
        <v>4</v>
      </c>
      <c r="K266">
        <v>0.23300000000000001</v>
      </c>
      <c r="L266">
        <v>1.52</v>
      </c>
      <c r="M266">
        <v>17.21</v>
      </c>
      <c r="N266">
        <v>170</v>
      </c>
      <c r="O266">
        <v>13.5</v>
      </c>
      <c r="P266">
        <v>88.3</v>
      </c>
      <c r="Q266">
        <v>207</v>
      </c>
      <c r="R266">
        <v>38</v>
      </c>
      <c r="S266">
        <v>58.5</v>
      </c>
      <c r="T266">
        <v>1.5</v>
      </c>
      <c r="U266">
        <v>2</v>
      </c>
      <c r="V266">
        <v>0</v>
      </c>
      <c r="W266">
        <v>0</v>
      </c>
      <c r="X266">
        <v>0.28999999999999998</v>
      </c>
      <c r="Y266">
        <v>0.45</v>
      </c>
      <c r="Z266">
        <v>0.01</v>
      </c>
      <c r="AA266">
        <v>0.01</v>
      </c>
      <c r="AB266">
        <v>0</v>
      </c>
      <c r="AC266">
        <v>0</v>
      </c>
      <c r="AD266">
        <v>5.4</v>
      </c>
      <c r="AE266">
        <v>142.30000000000001</v>
      </c>
    </row>
    <row r="267" spans="1:31" x14ac:dyDescent="0.25">
      <c r="A267" s="35" t="s">
        <v>751</v>
      </c>
      <c r="B267">
        <v>3</v>
      </c>
      <c r="C267" s="48" t="s">
        <v>586</v>
      </c>
      <c r="D267" t="s">
        <v>417</v>
      </c>
      <c r="E267" t="s">
        <v>60</v>
      </c>
      <c r="F267">
        <v>847</v>
      </c>
      <c r="G267" s="35">
        <v>22</v>
      </c>
      <c r="H267">
        <v>2.57</v>
      </c>
      <c r="I267">
        <v>3.18</v>
      </c>
      <c r="J267">
        <v>5.7</v>
      </c>
      <c r="K267">
        <v>0.29099999999999998</v>
      </c>
      <c r="L267">
        <v>1.79</v>
      </c>
      <c r="M267">
        <v>19.579999999999998</v>
      </c>
      <c r="N267">
        <v>217</v>
      </c>
      <c r="O267">
        <v>14.2</v>
      </c>
      <c r="P267">
        <v>91.4</v>
      </c>
      <c r="Q267">
        <v>191</v>
      </c>
      <c r="R267">
        <v>23.7</v>
      </c>
      <c r="S267">
        <v>72</v>
      </c>
      <c r="T267">
        <v>0.2</v>
      </c>
      <c r="U267">
        <v>3.7</v>
      </c>
      <c r="V267">
        <v>0.3</v>
      </c>
      <c r="W267">
        <v>0.1</v>
      </c>
      <c r="X267">
        <v>0.61</v>
      </c>
      <c r="Y267">
        <v>1.85</v>
      </c>
      <c r="Z267">
        <v>0.01</v>
      </c>
      <c r="AA267">
        <v>0.09</v>
      </c>
      <c r="AB267">
        <v>0.01</v>
      </c>
      <c r="AC267">
        <v>0</v>
      </c>
      <c r="AD267">
        <v>5.2</v>
      </c>
      <c r="AE267">
        <v>164.1</v>
      </c>
    </row>
    <row r="268" spans="1:31" x14ac:dyDescent="0.25">
      <c r="A268" s="35" t="s">
        <v>659</v>
      </c>
      <c r="B268">
        <v>3</v>
      </c>
      <c r="C268" s="48" t="s">
        <v>39</v>
      </c>
      <c r="D268" t="s">
        <v>418</v>
      </c>
      <c r="E268" t="s">
        <v>49</v>
      </c>
      <c r="F268">
        <v>794</v>
      </c>
      <c r="G268" s="35">
        <v>22</v>
      </c>
    </row>
    <row r="269" spans="1:31" x14ac:dyDescent="0.25">
      <c r="A269" s="35" t="s">
        <v>731</v>
      </c>
      <c r="B269">
        <v>3</v>
      </c>
      <c r="C269" s="48" t="s">
        <v>584</v>
      </c>
      <c r="D269" t="s">
        <v>417</v>
      </c>
      <c r="E269" t="s">
        <v>60</v>
      </c>
      <c r="F269">
        <v>777</v>
      </c>
      <c r="G269" s="35">
        <v>22</v>
      </c>
      <c r="H269">
        <v>1.0900000000000001</v>
      </c>
      <c r="I269">
        <v>2.61</v>
      </c>
      <c r="J269">
        <v>3.5</v>
      </c>
      <c r="K269">
        <v>0.19400000000000001</v>
      </c>
      <c r="L269">
        <v>1.33</v>
      </c>
      <c r="M269">
        <v>17.88</v>
      </c>
      <c r="N269">
        <v>168</v>
      </c>
      <c r="O269">
        <v>14.3</v>
      </c>
      <c r="P269">
        <v>74.2</v>
      </c>
      <c r="Q269">
        <v>201</v>
      </c>
      <c r="R269">
        <v>24</v>
      </c>
      <c r="S269">
        <v>71.7</v>
      </c>
      <c r="T269">
        <v>0</v>
      </c>
      <c r="U269">
        <v>3.8</v>
      </c>
      <c r="V269">
        <v>0.4</v>
      </c>
      <c r="W269">
        <v>0.1</v>
      </c>
      <c r="X269">
        <v>0.26</v>
      </c>
      <c r="Y269">
        <v>0.78</v>
      </c>
      <c r="Z269">
        <v>0</v>
      </c>
      <c r="AA269">
        <v>0.04</v>
      </c>
      <c r="AB269">
        <v>0</v>
      </c>
      <c r="AC269">
        <v>0</v>
      </c>
      <c r="AD269">
        <v>5.2</v>
      </c>
      <c r="AE269">
        <v>134.9</v>
      </c>
    </row>
    <row r="270" spans="1:31" x14ac:dyDescent="0.25">
      <c r="A270" s="35" t="s">
        <v>639</v>
      </c>
      <c r="B270">
        <v>3</v>
      </c>
      <c r="C270" s="48" t="s">
        <v>45</v>
      </c>
      <c r="D270" t="s">
        <v>418</v>
      </c>
      <c r="E270" t="s">
        <v>60</v>
      </c>
      <c r="F270">
        <v>949.7</v>
      </c>
      <c r="G270" s="35">
        <v>22</v>
      </c>
    </row>
    <row r="271" spans="1:31" x14ac:dyDescent="0.25">
      <c r="A271" s="35" t="s">
        <v>707</v>
      </c>
      <c r="B271">
        <v>3</v>
      </c>
      <c r="C271" s="48" t="s">
        <v>51</v>
      </c>
      <c r="D271" t="s">
        <v>420</v>
      </c>
      <c r="E271" t="s">
        <v>49</v>
      </c>
      <c r="F271">
        <v>993</v>
      </c>
      <c r="G271" s="35">
        <v>22</v>
      </c>
      <c r="H271">
        <v>4.1399999999999997</v>
      </c>
      <c r="I271">
        <v>3.68</v>
      </c>
      <c r="J271">
        <v>5.3</v>
      </c>
      <c r="K271">
        <v>0.27800000000000002</v>
      </c>
      <c r="L271">
        <v>1.45</v>
      </c>
      <c r="M271">
        <v>19.190000000000001</v>
      </c>
      <c r="N271">
        <v>385</v>
      </c>
      <c r="O271">
        <v>12.2</v>
      </c>
      <c r="P271">
        <v>75.7</v>
      </c>
      <c r="Q271">
        <v>225</v>
      </c>
      <c r="R271">
        <v>42.1</v>
      </c>
      <c r="S271">
        <v>54</v>
      </c>
      <c r="T271">
        <v>0.5</v>
      </c>
      <c r="U271">
        <v>3.4</v>
      </c>
      <c r="V271">
        <v>0</v>
      </c>
      <c r="W271">
        <v>0</v>
      </c>
      <c r="X271">
        <v>1.74</v>
      </c>
      <c r="Y271">
        <v>2.23</v>
      </c>
      <c r="Z271">
        <v>0.02</v>
      </c>
      <c r="AA271">
        <v>0.14000000000000001</v>
      </c>
      <c r="AB271">
        <v>0</v>
      </c>
      <c r="AC271">
        <v>0</v>
      </c>
      <c r="AD271">
        <v>5.9</v>
      </c>
      <c r="AE271">
        <v>216.8</v>
      </c>
    </row>
    <row r="272" spans="1:31" x14ac:dyDescent="0.25">
      <c r="A272" s="35" t="s">
        <v>670</v>
      </c>
      <c r="B272">
        <v>3</v>
      </c>
      <c r="C272" s="48" t="s">
        <v>585</v>
      </c>
      <c r="D272" t="s">
        <v>418</v>
      </c>
      <c r="E272" t="s">
        <v>60</v>
      </c>
      <c r="F272">
        <v>1159</v>
      </c>
      <c r="G272" s="35">
        <v>22</v>
      </c>
      <c r="H272">
        <v>1.97</v>
      </c>
      <c r="I272">
        <v>3.23</v>
      </c>
      <c r="J272">
        <v>5.3</v>
      </c>
      <c r="K272">
        <v>0.312</v>
      </c>
      <c r="L272">
        <v>1.63</v>
      </c>
      <c r="M272">
        <v>16.86</v>
      </c>
      <c r="N272">
        <v>186</v>
      </c>
      <c r="O272">
        <v>15.1</v>
      </c>
      <c r="P272">
        <v>96.5</v>
      </c>
      <c r="Q272">
        <v>164</v>
      </c>
      <c r="R272">
        <v>15.2</v>
      </c>
      <c r="S272">
        <v>71.3</v>
      </c>
      <c r="T272">
        <v>0.5</v>
      </c>
      <c r="U272">
        <v>12.2</v>
      </c>
      <c r="V272">
        <v>0.7</v>
      </c>
      <c r="W272">
        <v>0.1</v>
      </c>
      <c r="X272">
        <v>0.3</v>
      </c>
      <c r="Y272">
        <v>1.4</v>
      </c>
      <c r="Z272">
        <v>0.01</v>
      </c>
      <c r="AA272">
        <v>0.24</v>
      </c>
      <c r="AB272">
        <v>0.01</v>
      </c>
      <c r="AC272">
        <v>0</v>
      </c>
      <c r="AD272">
        <v>1.9</v>
      </c>
      <c r="AE272">
        <v>62.9</v>
      </c>
    </row>
    <row r="273" spans="1:31" x14ac:dyDescent="0.25">
      <c r="A273" s="35" t="s">
        <v>666</v>
      </c>
      <c r="B273">
        <v>3</v>
      </c>
      <c r="C273" s="48" t="s">
        <v>53</v>
      </c>
      <c r="D273" t="s">
        <v>418</v>
      </c>
      <c r="E273" t="s">
        <v>49</v>
      </c>
      <c r="F273">
        <v>1104</v>
      </c>
      <c r="G273" s="35">
        <v>22</v>
      </c>
    </row>
    <row r="274" spans="1:31" x14ac:dyDescent="0.25">
      <c r="A274" s="35" t="s">
        <v>767</v>
      </c>
      <c r="B274">
        <v>3</v>
      </c>
      <c r="C274" s="48" t="s">
        <v>56</v>
      </c>
      <c r="D274" t="s">
        <v>417</v>
      </c>
      <c r="E274" t="s">
        <v>49</v>
      </c>
      <c r="F274">
        <v>996</v>
      </c>
      <c r="G274" s="35">
        <v>22</v>
      </c>
      <c r="H274">
        <v>1.1200000000000001</v>
      </c>
      <c r="I274">
        <v>3.53</v>
      </c>
      <c r="J274">
        <v>4.9000000000000004</v>
      </c>
      <c r="K274">
        <v>0.25900000000000001</v>
      </c>
      <c r="L274">
        <v>1.39</v>
      </c>
      <c r="M274">
        <v>18.89</v>
      </c>
      <c r="N274">
        <v>238</v>
      </c>
      <c r="O274">
        <v>12.3</v>
      </c>
      <c r="P274">
        <v>73.400000000000006</v>
      </c>
      <c r="Q274">
        <v>211</v>
      </c>
      <c r="R274">
        <v>43.7</v>
      </c>
      <c r="S274">
        <v>53.1</v>
      </c>
      <c r="T274">
        <v>0.2</v>
      </c>
      <c r="U274">
        <v>2.4</v>
      </c>
      <c r="V274">
        <v>0.5</v>
      </c>
      <c r="W274">
        <v>0.1</v>
      </c>
      <c r="X274">
        <v>0.49</v>
      </c>
      <c r="Y274">
        <v>0.59</v>
      </c>
      <c r="Z274">
        <v>0</v>
      </c>
      <c r="AA274">
        <v>0.03</v>
      </c>
      <c r="AB274">
        <v>0.01</v>
      </c>
      <c r="AC274">
        <v>0</v>
      </c>
      <c r="AD274">
        <v>6.4</v>
      </c>
      <c r="AE274">
        <v>226.7</v>
      </c>
    </row>
    <row r="275" spans="1:31" x14ac:dyDescent="0.25">
      <c r="A275" s="35" t="s">
        <v>646</v>
      </c>
      <c r="B275">
        <v>3</v>
      </c>
      <c r="C275" s="48" t="s">
        <v>80</v>
      </c>
      <c r="D275" t="s">
        <v>418</v>
      </c>
      <c r="E275" t="s">
        <v>60</v>
      </c>
      <c r="F275">
        <v>885</v>
      </c>
      <c r="G275" s="35">
        <v>22</v>
      </c>
      <c r="H275">
        <v>0.76</v>
      </c>
      <c r="I275">
        <v>2.57</v>
      </c>
      <c r="J275">
        <v>3.7</v>
      </c>
      <c r="K275">
        <v>0.23400000000000001</v>
      </c>
      <c r="L275">
        <v>1.45</v>
      </c>
      <c r="M275">
        <v>15.97</v>
      </c>
      <c r="N275">
        <v>165</v>
      </c>
      <c r="O275">
        <v>14.6</v>
      </c>
      <c r="P275">
        <v>91</v>
      </c>
      <c r="Q275">
        <v>205</v>
      </c>
      <c r="R275">
        <v>13.3</v>
      </c>
      <c r="S275">
        <v>84.1</v>
      </c>
      <c r="T275">
        <v>0.5</v>
      </c>
      <c r="U275">
        <v>1</v>
      </c>
      <c r="V275">
        <v>1</v>
      </c>
      <c r="W275">
        <v>0.2</v>
      </c>
      <c r="X275">
        <v>0.1</v>
      </c>
      <c r="Y275">
        <v>0.64</v>
      </c>
      <c r="Z275">
        <v>0</v>
      </c>
      <c r="AA275">
        <v>0.01</v>
      </c>
      <c r="AB275">
        <v>0.01</v>
      </c>
      <c r="AC275">
        <v>0</v>
      </c>
      <c r="AD275">
        <v>3.4</v>
      </c>
      <c r="AE275">
        <v>87.6</v>
      </c>
    </row>
    <row r="276" spans="1:31" x14ac:dyDescent="0.25">
      <c r="A276" s="35" t="s">
        <v>596</v>
      </c>
      <c r="B276">
        <v>3</v>
      </c>
      <c r="C276" s="48" t="s">
        <v>82</v>
      </c>
      <c r="D276" t="s">
        <v>421</v>
      </c>
      <c r="E276" t="s">
        <v>49</v>
      </c>
      <c r="F276">
        <v>984</v>
      </c>
      <c r="G276" s="35">
        <v>22</v>
      </c>
      <c r="H276">
        <v>3.57</v>
      </c>
      <c r="I276">
        <v>3.81</v>
      </c>
      <c r="J276">
        <v>5.2</v>
      </c>
      <c r="K276">
        <v>0.307</v>
      </c>
      <c r="L276">
        <v>1.36</v>
      </c>
      <c r="M276">
        <v>16.87</v>
      </c>
      <c r="N276">
        <v>263</v>
      </c>
      <c r="O276">
        <v>17.600000000000001</v>
      </c>
      <c r="P276">
        <v>80.7</v>
      </c>
      <c r="Q276">
        <v>220</v>
      </c>
      <c r="R276">
        <v>43.5</v>
      </c>
      <c r="S276">
        <v>55</v>
      </c>
      <c r="T276">
        <v>0.9</v>
      </c>
      <c r="U276">
        <v>0.5</v>
      </c>
      <c r="V276">
        <v>0.1</v>
      </c>
      <c r="W276">
        <v>0</v>
      </c>
      <c r="X276">
        <v>1.55</v>
      </c>
      <c r="Y276">
        <v>1.96</v>
      </c>
      <c r="Z276">
        <v>0.03</v>
      </c>
      <c r="AA276">
        <v>0.02</v>
      </c>
      <c r="AB276">
        <v>0</v>
      </c>
      <c r="AC276">
        <v>0</v>
      </c>
      <c r="AD276">
        <v>3.4</v>
      </c>
      <c r="AE276">
        <v>130.30000000000001</v>
      </c>
    </row>
    <row r="277" spans="1:31" x14ac:dyDescent="0.25">
      <c r="A277" s="35" t="s">
        <v>755</v>
      </c>
      <c r="B277">
        <v>3</v>
      </c>
      <c r="C277" s="48" t="s">
        <v>58</v>
      </c>
      <c r="D277" t="s">
        <v>417</v>
      </c>
      <c r="E277" t="s">
        <v>60</v>
      </c>
      <c r="F277">
        <v>1175</v>
      </c>
      <c r="G277" s="35">
        <v>22</v>
      </c>
      <c r="H277">
        <v>2.35</v>
      </c>
      <c r="I277">
        <v>1.85</v>
      </c>
      <c r="J277">
        <v>3.3</v>
      </c>
      <c r="K277">
        <v>0.157</v>
      </c>
      <c r="L277">
        <v>1.77</v>
      </c>
      <c r="M277">
        <v>20.78</v>
      </c>
      <c r="N277">
        <v>195</v>
      </c>
      <c r="O277">
        <v>12.4</v>
      </c>
      <c r="P277">
        <v>85</v>
      </c>
      <c r="Q277">
        <v>199</v>
      </c>
      <c r="R277">
        <v>39</v>
      </c>
      <c r="S277">
        <v>56.7</v>
      </c>
      <c r="T277">
        <v>1.7</v>
      </c>
      <c r="U277">
        <v>2.4</v>
      </c>
      <c r="V277">
        <v>0.1</v>
      </c>
      <c r="W277">
        <v>0.1</v>
      </c>
      <c r="X277">
        <v>0.92</v>
      </c>
      <c r="Y277">
        <v>1.33</v>
      </c>
      <c r="Z277">
        <v>0.04</v>
      </c>
      <c r="AA277">
        <v>0.06</v>
      </c>
      <c r="AB277">
        <v>0</v>
      </c>
      <c r="AC277">
        <v>0</v>
      </c>
      <c r="AD277">
        <v>9.1</v>
      </c>
      <c r="AE277">
        <v>168.3</v>
      </c>
    </row>
    <row r="278" spans="1:31" x14ac:dyDescent="0.25">
      <c r="A278" s="35" t="s">
        <v>796</v>
      </c>
      <c r="B278">
        <v>3</v>
      </c>
      <c r="C278" s="48" t="s">
        <v>62</v>
      </c>
      <c r="D278" t="s">
        <v>419</v>
      </c>
      <c r="E278" t="s">
        <v>60</v>
      </c>
      <c r="F278">
        <v>1219</v>
      </c>
      <c r="G278" s="35">
        <v>22</v>
      </c>
      <c r="H278">
        <v>1.08</v>
      </c>
      <c r="I278">
        <v>3.31</v>
      </c>
      <c r="J278">
        <v>4.9000000000000004</v>
      </c>
      <c r="K278">
        <v>0.26100000000000001</v>
      </c>
      <c r="L278">
        <v>1.47</v>
      </c>
      <c r="M278">
        <v>18.62</v>
      </c>
      <c r="N278">
        <v>164</v>
      </c>
      <c r="O278">
        <v>13.6</v>
      </c>
      <c r="P278">
        <v>79</v>
      </c>
      <c r="Q278">
        <v>207</v>
      </c>
      <c r="R278">
        <v>58.5</v>
      </c>
      <c r="S278">
        <v>37.700000000000003</v>
      </c>
      <c r="T278">
        <v>0.2</v>
      </c>
      <c r="U278">
        <v>2.6</v>
      </c>
      <c r="V278">
        <v>0.8</v>
      </c>
      <c r="W278">
        <v>0.2</v>
      </c>
      <c r="X278">
        <v>0.63</v>
      </c>
      <c r="Y278">
        <v>0.41</v>
      </c>
      <c r="Z278">
        <v>0</v>
      </c>
      <c r="AA278">
        <v>0.03</v>
      </c>
      <c r="AB278">
        <v>0.01</v>
      </c>
      <c r="AC278">
        <v>0</v>
      </c>
      <c r="AD278">
        <v>6.1</v>
      </c>
      <c r="AE278">
        <v>202.6</v>
      </c>
    </row>
    <row r="279" spans="1:31" x14ac:dyDescent="0.25">
      <c r="A279" s="35" t="s">
        <v>801</v>
      </c>
      <c r="B279">
        <v>3</v>
      </c>
      <c r="C279" s="48" t="s">
        <v>64</v>
      </c>
      <c r="D279" t="s">
        <v>419</v>
      </c>
      <c r="E279" t="s">
        <v>49</v>
      </c>
      <c r="F279">
        <v>849</v>
      </c>
      <c r="G279" s="35">
        <v>22</v>
      </c>
      <c r="H279">
        <v>1.32</v>
      </c>
      <c r="I279">
        <v>3.17</v>
      </c>
      <c r="J279">
        <v>4.7</v>
      </c>
      <c r="K279">
        <v>0.249</v>
      </c>
      <c r="L279">
        <v>1.47</v>
      </c>
      <c r="M279">
        <v>18.690000000000001</v>
      </c>
      <c r="N279">
        <v>306</v>
      </c>
      <c r="O279">
        <v>13.7</v>
      </c>
      <c r="P279">
        <v>78.599999999999994</v>
      </c>
      <c r="Q279">
        <v>225</v>
      </c>
      <c r="R279">
        <v>69.5</v>
      </c>
      <c r="S279">
        <v>26</v>
      </c>
      <c r="T279">
        <v>0.7</v>
      </c>
      <c r="U279">
        <v>3.2</v>
      </c>
      <c r="V279">
        <v>0.4</v>
      </c>
      <c r="W279">
        <v>0.1</v>
      </c>
      <c r="X279">
        <v>0.92</v>
      </c>
      <c r="Y279">
        <v>0.34</v>
      </c>
      <c r="Z279">
        <v>0.01</v>
      </c>
      <c r="AA279">
        <v>0.04</v>
      </c>
      <c r="AB279">
        <v>0.01</v>
      </c>
      <c r="AC279">
        <v>0</v>
      </c>
      <c r="AD279">
        <v>6.9</v>
      </c>
      <c r="AE279">
        <v>215.3</v>
      </c>
    </row>
    <row r="280" spans="1:31" x14ac:dyDescent="0.25">
      <c r="A280" s="35" t="s">
        <v>699</v>
      </c>
      <c r="B280">
        <v>3</v>
      </c>
      <c r="C280" s="48" t="s">
        <v>66</v>
      </c>
      <c r="D280" t="s">
        <v>420</v>
      </c>
      <c r="E280" t="s">
        <v>60</v>
      </c>
      <c r="F280">
        <v>1279</v>
      </c>
      <c r="G280" s="35">
        <v>22</v>
      </c>
    </row>
    <row r="281" spans="1:31" x14ac:dyDescent="0.25">
      <c r="A281" s="35" t="s">
        <v>613</v>
      </c>
      <c r="B281">
        <v>3</v>
      </c>
      <c r="C281" s="48" t="s">
        <v>385</v>
      </c>
      <c r="D281" t="s">
        <v>421</v>
      </c>
      <c r="E281" t="s">
        <v>60</v>
      </c>
      <c r="F281">
        <v>676</v>
      </c>
      <c r="G281" s="35">
        <v>22</v>
      </c>
      <c r="H281">
        <v>2.7</v>
      </c>
      <c r="I281">
        <v>2.06</v>
      </c>
      <c r="J281">
        <v>3.3</v>
      </c>
      <c r="K281">
        <v>0.185</v>
      </c>
      <c r="L281">
        <v>1.61</v>
      </c>
      <c r="M281">
        <v>17.899999999999999</v>
      </c>
      <c r="N281">
        <v>238</v>
      </c>
      <c r="O281">
        <v>13.3</v>
      </c>
      <c r="P281">
        <v>90</v>
      </c>
      <c r="Q281">
        <v>202</v>
      </c>
      <c r="R281">
        <v>52.1</v>
      </c>
      <c r="S281">
        <v>45.8</v>
      </c>
      <c r="T281">
        <v>1</v>
      </c>
      <c r="U281">
        <v>1</v>
      </c>
      <c r="V281">
        <v>0.1</v>
      </c>
      <c r="W281">
        <v>0</v>
      </c>
      <c r="X281">
        <v>1.41</v>
      </c>
      <c r="Y281">
        <v>1.24</v>
      </c>
      <c r="Z281">
        <v>0.03</v>
      </c>
      <c r="AA281">
        <v>0.03</v>
      </c>
      <c r="AB281">
        <v>0</v>
      </c>
      <c r="AC281">
        <v>0</v>
      </c>
      <c r="AD281">
        <v>7.2</v>
      </c>
      <c r="AE281">
        <v>148.30000000000001</v>
      </c>
    </row>
    <row r="282" spans="1:31" x14ac:dyDescent="0.25">
      <c r="A282" s="35" t="s">
        <v>720</v>
      </c>
      <c r="B282">
        <v>3</v>
      </c>
      <c r="C282" s="48" t="s">
        <v>68</v>
      </c>
      <c r="D282" t="s">
        <v>420</v>
      </c>
      <c r="E282" t="s">
        <v>60</v>
      </c>
      <c r="F282">
        <v>637</v>
      </c>
      <c r="G282" s="35">
        <v>22</v>
      </c>
      <c r="H282">
        <v>4.46</v>
      </c>
      <c r="I282">
        <v>3.33</v>
      </c>
      <c r="J282">
        <v>4.8</v>
      </c>
      <c r="K282">
        <v>0.26300000000000001</v>
      </c>
      <c r="L282">
        <v>1.45</v>
      </c>
      <c r="M282">
        <v>18.37</v>
      </c>
      <c r="N282">
        <v>332</v>
      </c>
      <c r="O282">
        <v>12.5</v>
      </c>
      <c r="P282">
        <v>78.8</v>
      </c>
      <c r="Q282">
        <v>219</v>
      </c>
      <c r="R282">
        <v>48.8</v>
      </c>
      <c r="S282">
        <v>49.4</v>
      </c>
      <c r="T282">
        <v>0.5</v>
      </c>
      <c r="U282">
        <v>1</v>
      </c>
      <c r="V282">
        <v>0.1</v>
      </c>
      <c r="W282">
        <v>0.1</v>
      </c>
      <c r="X282">
        <v>2.1800000000000002</v>
      </c>
      <c r="Y282">
        <v>2.2000000000000002</v>
      </c>
      <c r="Z282">
        <v>0.02</v>
      </c>
      <c r="AA282">
        <v>0.05</v>
      </c>
      <c r="AB282">
        <v>0</v>
      </c>
      <c r="AC282">
        <v>0.01</v>
      </c>
      <c r="AD282">
        <v>8.9</v>
      </c>
      <c r="AE282">
        <v>296.2</v>
      </c>
    </row>
    <row r="283" spans="1:31" x14ac:dyDescent="0.25">
      <c r="A283" s="35" t="s">
        <v>855</v>
      </c>
      <c r="B283">
        <v>3</v>
      </c>
      <c r="C283" s="48" t="s">
        <v>386</v>
      </c>
      <c r="D283" t="s">
        <v>419</v>
      </c>
      <c r="E283" t="s">
        <v>60</v>
      </c>
      <c r="F283">
        <v>1017</v>
      </c>
      <c r="G283" s="35">
        <v>22</v>
      </c>
    </row>
    <row r="284" spans="1:31" x14ac:dyDescent="0.25">
      <c r="A284" s="35" t="s">
        <v>813</v>
      </c>
      <c r="B284">
        <v>3</v>
      </c>
      <c r="C284" s="48" t="s">
        <v>388</v>
      </c>
      <c r="D284" t="s">
        <v>419</v>
      </c>
      <c r="E284" t="s">
        <v>49</v>
      </c>
      <c r="F284">
        <v>909</v>
      </c>
      <c r="G284" s="35">
        <v>22</v>
      </c>
    </row>
    <row r="285" spans="1:31" x14ac:dyDescent="0.25">
      <c r="A285" s="35" t="s">
        <v>861</v>
      </c>
      <c r="B285">
        <v>3</v>
      </c>
      <c r="C285" s="48" t="s">
        <v>389</v>
      </c>
      <c r="D285" t="s">
        <v>419</v>
      </c>
      <c r="E285" t="s">
        <v>49</v>
      </c>
      <c r="F285">
        <v>795</v>
      </c>
      <c r="G285" s="35">
        <v>22</v>
      </c>
      <c r="H285">
        <v>2.88</v>
      </c>
      <c r="I285">
        <v>3.18</v>
      </c>
      <c r="J285">
        <v>4.9000000000000004</v>
      </c>
      <c r="K285">
        <v>0.253</v>
      </c>
      <c r="L285">
        <v>1.53</v>
      </c>
      <c r="M285">
        <v>19.23</v>
      </c>
      <c r="N285">
        <v>209</v>
      </c>
      <c r="O285">
        <v>13.4</v>
      </c>
      <c r="P285">
        <v>79.599999999999994</v>
      </c>
      <c r="Q285">
        <v>205</v>
      </c>
      <c r="R285">
        <v>43.4</v>
      </c>
      <c r="S285">
        <v>49.1</v>
      </c>
      <c r="T285">
        <v>0.1</v>
      </c>
      <c r="U285">
        <v>7.5</v>
      </c>
      <c r="V285">
        <v>0.2</v>
      </c>
      <c r="W285">
        <v>0</v>
      </c>
      <c r="X285">
        <v>1.25</v>
      </c>
      <c r="Y285">
        <v>1.41</v>
      </c>
      <c r="Z285">
        <v>0</v>
      </c>
      <c r="AA285">
        <v>0.21</v>
      </c>
      <c r="AB285">
        <v>0.01</v>
      </c>
      <c r="AC285">
        <v>0</v>
      </c>
      <c r="AD285">
        <v>4.4000000000000004</v>
      </c>
      <c r="AE285">
        <v>139.6</v>
      </c>
    </row>
    <row r="286" spans="1:31" x14ac:dyDescent="0.25">
      <c r="A286" s="35" t="s">
        <v>703</v>
      </c>
      <c r="B286">
        <v>3</v>
      </c>
      <c r="C286" s="48" t="s">
        <v>390</v>
      </c>
      <c r="D286" t="s">
        <v>420</v>
      </c>
      <c r="E286" t="s">
        <v>49</v>
      </c>
      <c r="F286">
        <v>828</v>
      </c>
      <c r="G286" s="35">
        <v>22</v>
      </c>
      <c r="H286">
        <v>4.84</v>
      </c>
      <c r="I286">
        <v>2.52</v>
      </c>
      <c r="J286">
        <v>4</v>
      </c>
      <c r="K286">
        <v>0.20599999999999999</v>
      </c>
      <c r="L286">
        <v>1.58</v>
      </c>
      <c r="M286">
        <v>19.309999999999999</v>
      </c>
      <c r="N286">
        <v>226</v>
      </c>
      <c r="O286">
        <v>13.3</v>
      </c>
      <c r="P286">
        <v>81.900000000000006</v>
      </c>
      <c r="Q286">
        <v>211</v>
      </c>
      <c r="R286">
        <v>55.4</v>
      </c>
      <c r="S286">
        <v>41.5</v>
      </c>
      <c r="T286">
        <v>1.4</v>
      </c>
      <c r="U286">
        <v>1.4</v>
      </c>
      <c r="V286">
        <v>0.3</v>
      </c>
      <c r="W286">
        <v>0.1</v>
      </c>
      <c r="X286">
        <v>2.68</v>
      </c>
      <c r="Y286">
        <v>2.0099999999999998</v>
      </c>
      <c r="Z286">
        <v>7.0000000000000007E-2</v>
      </c>
      <c r="AA286">
        <v>7.0000000000000007E-2</v>
      </c>
      <c r="AB286">
        <v>0.01</v>
      </c>
      <c r="AC286">
        <v>0</v>
      </c>
      <c r="AD286">
        <v>5.5</v>
      </c>
      <c r="AE286">
        <v>139.5</v>
      </c>
    </row>
    <row r="287" spans="1:31" x14ac:dyDescent="0.25">
      <c r="A287" s="35" t="s">
        <v>858</v>
      </c>
      <c r="B287">
        <v>3</v>
      </c>
      <c r="C287" s="48" t="s">
        <v>384</v>
      </c>
      <c r="D287" t="s">
        <v>419</v>
      </c>
      <c r="E287" t="s">
        <v>49</v>
      </c>
      <c r="F287">
        <v>702</v>
      </c>
      <c r="G287" s="35">
        <v>22</v>
      </c>
      <c r="H287">
        <v>2.4500000000000002</v>
      </c>
      <c r="I287">
        <v>3.19</v>
      </c>
      <c r="J287">
        <v>4.8</v>
      </c>
      <c r="K287">
        <v>0.254</v>
      </c>
      <c r="L287">
        <v>1.51</v>
      </c>
      <c r="M287">
        <v>19.010000000000002</v>
      </c>
      <c r="N287">
        <v>204</v>
      </c>
      <c r="O287">
        <v>14.1</v>
      </c>
      <c r="P287">
        <v>79.599999999999994</v>
      </c>
      <c r="Q287">
        <v>225</v>
      </c>
      <c r="R287">
        <v>82.7</v>
      </c>
      <c r="S287">
        <v>14</v>
      </c>
      <c r="T287">
        <v>0.9</v>
      </c>
      <c r="U287">
        <v>1.7</v>
      </c>
      <c r="V287">
        <v>0.4</v>
      </c>
      <c r="W287">
        <v>0.4</v>
      </c>
      <c r="X287">
        <v>2.0299999999999998</v>
      </c>
      <c r="Y287">
        <v>0.34</v>
      </c>
      <c r="Z287">
        <v>0.02</v>
      </c>
      <c r="AA287">
        <v>0.04</v>
      </c>
      <c r="AB287">
        <v>0.01</v>
      </c>
      <c r="AC287">
        <v>0.01</v>
      </c>
      <c r="AD287">
        <v>3.6</v>
      </c>
      <c r="AE287">
        <v>113.9</v>
      </c>
    </row>
    <row r="288" spans="1:31" x14ac:dyDescent="0.25">
      <c r="A288" s="35" t="s">
        <v>605</v>
      </c>
      <c r="B288">
        <v>3</v>
      </c>
      <c r="C288" s="48" t="s">
        <v>202</v>
      </c>
      <c r="D288" t="s">
        <v>421</v>
      </c>
      <c r="E288" t="s">
        <v>49</v>
      </c>
      <c r="F288">
        <v>908</v>
      </c>
      <c r="G288" s="35">
        <v>22</v>
      </c>
      <c r="H288">
        <v>2.74</v>
      </c>
      <c r="I288">
        <v>3.16</v>
      </c>
      <c r="J288">
        <v>4.7</v>
      </c>
      <c r="K288">
        <v>0.27</v>
      </c>
      <c r="L288">
        <v>1.47</v>
      </c>
      <c r="M288">
        <v>17.239999999999998</v>
      </c>
      <c r="N288">
        <v>305</v>
      </c>
      <c r="O288">
        <v>13.2</v>
      </c>
      <c r="P288">
        <v>85.4</v>
      </c>
      <c r="Q288">
        <v>206</v>
      </c>
      <c r="R288">
        <v>39.5</v>
      </c>
      <c r="S288">
        <v>58.9</v>
      </c>
      <c r="T288">
        <v>0.9</v>
      </c>
      <c r="U288">
        <v>0.6</v>
      </c>
      <c r="V288">
        <v>0</v>
      </c>
      <c r="W288">
        <v>0</v>
      </c>
      <c r="X288">
        <v>1.08</v>
      </c>
      <c r="Y288">
        <v>1.61</v>
      </c>
      <c r="Z288">
        <v>0.03</v>
      </c>
      <c r="AA288">
        <v>0.02</v>
      </c>
      <c r="AB288">
        <v>0</v>
      </c>
      <c r="AC288">
        <v>0</v>
      </c>
      <c r="AD288">
        <v>5.6</v>
      </c>
      <c r="AE288">
        <v>178.4</v>
      </c>
    </row>
    <row r="289" spans="1:31" x14ac:dyDescent="0.25">
      <c r="A289" s="35" t="s">
        <v>978</v>
      </c>
      <c r="B289">
        <v>3</v>
      </c>
      <c r="C289" s="48" t="s">
        <v>175</v>
      </c>
      <c r="D289" t="s">
        <v>417</v>
      </c>
      <c r="E289" t="s">
        <v>49</v>
      </c>
      <c r="F289">
        <v>826</v>
      </c>
      <c r="G289" s="35">
        <v>22</v>
      </c>
      <c r="H289">
        <v>3.49</v>
      </c>
      <c r="I289">
        <v>3.09</v>
      </c>
      <c r="J289">
        <v>4.5999999999999996</v>
      </c>
      <c r="K289">
        <v>0.252</v>
      </c>
      <c r="L289">
        <v>1.5</v>
      </c>
      <c r="M289">
        <v>18.34</v>
      </c>
      <c r="N289">
        <v>212</v>
      </c>
      <c r="O289">
        <v>12.3</v>
      </c>
      <c r="P289">
        <v>81.599999999999994</v>
      </c>
      <c r="Q289">
        <v>207</v>
      </c>
      <c r="R289">
        <v>17.899999999999999</v>
      </c>
      <c r="S289">
        <v>78.2</v>
      </c>
      <c r="T289">
        <v>0</v>
      </c>
      <c r="U289">
        <v>3.8</v>
      </c>
      <c r="V289">
        <v>0.1</v>
      </c>
      <c r="W289">
        <v>0</v>
      </c>
      <c r="X289">
        <v>0.62</v>
      </c>
      <c r="Y289">
        <v>2.73</v>
      </c>
      <c r="Z289">
        <v>0</v>
      </c>
      <c r="AA289">
        <v>0.13</v>
      </c>
      <c r="AB289">
        <v>0</v>
      </c>
      <c r="AC289">
        <v>0</v>
      </c>
      <c r="AD289">
        <v>5</v>
      </c>
      <c r="AE289">
        <v>154.1</v>
      </c>
    </row>
    <row r="290" spans="1:31" x14ac:dyDescent="0.25">
      <c r="A290" s="35" t="s">
        <v>763</v>
      </c>
      <c r="B290">
        <v>3</v>
      </c>
      <c r="C290" s="48" t="s">
        <v>145</v>
      </c>
      <c r="D290" t="s">
        <v>417</v>
      </c>
      <c r="E290" t="s">
        <v>49</v>
      </c>
      <c r="F290">
        <v>970</v>
      </c>
      <c r="G290" s="35">
        <v>22</v>
      </c>
    </row>
  </sheetData>
  <sortState xmlns:xlrd2="http://schemas.microsoft.com/office/spreadsheetml/2017/richdata2" ref="A2:AE285">
    <sortCondition ref="G2:G285"/>
    <sortCondition ref="B2:B285"/>
    <sortCondition ref="C2:C285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65"/>
  <sheetViews>
    <sheetView topLeftCell="A15" workbookViewId="0">
      <selection activeCell="L23" sqref="L23"/>
    </sheetView>
  </sheetViews>
  <sheetFormatPr defaultRowHeight="15" x14ac:dyDescent="0.25"/>
  <cols>
    <col min="4" max="4" width="12.7109375" customWidth="1"/>
  </cols>
  <sheetData>
    <row r="1" spans="1:13" x14ac:dyDescent="0.25">
      <c r="A1" s="101" t="s">
        <v>1</v>
      </c>
      <c r="B1" s="101" t="s">
        <v>1456</v>
      </c>
      <c r="C1" s="101" t="s">
        <v>1519</v>
      </c>
      <c r="D1" s="101" t="s">
        <v>1520</v>
      </c>
      <c r="E1" s="101" t="s">
        <v>1521</v>
      </c>
      <c r="F1" s="101" t="s">
        <v>1522</v>
      </c>
      <c r="G1" s="101" t="s">
        <v>1523</v>
      </c>
      <c r="H1" s="101" t="s">
        <v>1524</v>
      </c>
      <c r="I1" s="101" t="s">
        <v>1525</v>
      </c>
      <c r="J1" s="101" t="s">
        <v>1526</v>
      </c>
      <c r="K1" s="101" t="s">
        <v>1527</v>
      </c>
      <c r="L1" s="101" t="s">
        <v>1528</v>
      </c>
      <c r="M1" s="101" t="s">
        <v>1529</v>
      </c>
    </row>
    <row r="2" spans="1:13" x14ac:dyDescent="0.25">
      <c r="A2">
        <v>1</v>
      </c>
      <c r="B2" t="s">
        <v>1457</v>
      </c>
      <c r="C2" s="15" t="s">
        <v>142</v>
      </c>
      <c r="D2" s="103">
        <v>44327</v>
      </c>
      <c r="F2" s="13">
        <v>10.67</v>
      </c>
      <c r="G2">
        <v>0.48499999999999999</v>
      </c>
      <c r="H2">
        <v>1.9319999999999999</v>
      </c>
      <c r="I2" s="13">
        <f>(1-((H2-G2)/F2))*100</f>
        <v>86.438612933458288</v>
      </c>
      <c r="J2" t="s">
        <v>1530</v>
      </c>
    </row>
    <row r="3" spans="1:13" x14ac:dyDescent="0.25">
      <c r="A3">
        <v>1</v>
      </c>
      <c r="B3" t="s">
        <v>1458</v>
      </c>
      <c r="C3" s="22" t="s">
        <v>40</v>
      </c>
      <c r="D3" s="103">
        <v>44327</v>
      </c>
      <c r="F3" s="13">
        <v>10.130000000000001</v>
      </c>
      <c r="G3">
        <v>0.47099999999999997</v>
      </c>
      <c r="H3">
        <v>2.0059999999999998</v>
      </c>
      <c r="I3" s="13">
        <f t="shared" ref="I3:I39" si="0">(1-((H3-G3)/F3))*100</f>
        <v>84.846989141164869</v>
      </c>
      <c r="J3" t="s">
        <v>1530</v>
      </c>
    </row>
    <row r="4" spans="1:13" x14ac:dyDescent="0.25">
      <c r="A4">
        <v>1</v>
      </c>
      <c r="B4" t="s">
        <v>1459</v>
      </c>
      <c r="C4" s="17" t="s">
        <v>146</v>
      </c>
      <c r="D4" s="103">
        <v>44327</v>
      </c>
      <c r="F4" s="13">
        <v>9.69</v>
      </c>
      <c r="G4">
        <v>0.45400000000000001</v>
      </c>
      <c r="H4">
        <v>1.8360000000000001</v>
      </c>
      <c r="I4" s="13">
        <f t="shared" si="0"/>
        <v>85.737874097007222</v>
      </c>
      <c r="J4" t="s">
        <v>1530</v>
      </c>
    </row>
    <row r="5" spans="1:13" x14ac:dyDescent="0.25">
      <c r="A5">
        <v>1</v>
      </c>
      <c r="B5" t="s">
        <v>1460</v>
      </c>
      <c r="C5" s="18" t="s">
        <v>40</v>
      </c>
      <c r="D5" s="103">
        <v>44327</v>
      </c>
      <c r="F5" s="13">
        <v>10.75</v>
      </c>
      <c r="G5">
        <v>0.504</v>
      </c>
      <c r="H5">
        <v>2.234</v>
      </c>
      <c r="I5" s="13">
        <f t="shared" si="0"/>
        <v>83.906976744186039</v>
      </c>
      <c r="J5" t="s">
        <v>1530</v>
      </c>
    </row>
    <row r="6" spans="1:13" x14ac:dyDescent="0.25">
      <c r="A6">
        <v>1</v>
      </c>
      <c r="B6" t="s">
        <v>1461</v>
      </c>
      <c r="C6" s="17" t="s">
        <v>146</v>
      </c>
      <c r="D6" s="103">
        <v>44327</v>
      </c>
      <c r="F6" s="13">
        <v>9.9600000000000009</v>
      </c>
      <c r="G6">
        <v>0.48699999999999999</v>
      </c>
      <c r="H6">
        <v>1.972</v>
      </c>
      <c r="I6" s="13">
        <f t="shared" si="0"/>
        <v>85.090361445783131</v>
      </c>
      <c r="J6" t="s">
        <v>1530</v>
      </c>
    </row>
    <row r="7" spans="1:13" x14ac:dyDescent="0.25">
      <c r="A7">
        <v>1</v>
      </c>
      <c r="B7" t="s">
        <v>1462</v>
      </c>
      <c r="C7" s="17" t="s">
        <v>146</v>
      </c>
      <c r="D7" s="103">
        <v>44327</v>
      </c>
      <c r="F7" s="13">
        <v>10.26</v>
      </c>
      <c r="G7">
        <v>0.47699999999999998</v>
      </c>
      <c r="H7">
        <v>1.9490000000000001</v>
      </c>
      <c r="I7" s="13">
        <f t="shared" si="0"/>
        <v>85.653021442495131</v>
      </c>
      <c r="J7" t="s">
        <v>1530</v>
      </c>
    </row>
    <row r="8" spans="1:13" x14ac:dyDescent="0.25">
      <c r="A8">
        <v>1</v>
      </c>
      <c r="B8" t="s">
        <v>1463</v>
      </c>
      <c r="C8" s="23" t="s">
        <v>71</v>
      </c>
      <c r="D8" s="103">
        <v>44327</v>
      </c>
      <c r="F8" s="13">
        <v>9.8989999999999991</v>
      </c>
      <c r="G8">
        <v>0.50700000000000001</v>
      </c>
      <c r="H8">
        <v>1.9059999999999999</v>
      </c>
      <c r="I8" s="13">
        <f t="shared" si="0"/>
        <v>85.86725931912315</v>
      </c>
      <c r="J8" t="s">
        <v>1530</v>
      </c>
    </row>
    <row r="9" spans="1:13" x14ac:dyDescent="0.25">
      <c r="A9">
        <v>1</v>
      </c>
      <c r="B9" t="s">
        <v>1464</v>
      </c>
      <c r="C9" s="4" t="s">
        <v>54</v>
      </c>
      <c r="D9" s="103">
        <v>44327</v>
      </c>
      <c r="F9" s="13">
        <v>10.119999999999999</v>
      </c>
      <c r="G9">
        <v>0.48699999999999999</v>
      </c>
      <c r="H9">
        <v>1.86</v>
      </c>
      <c r="I9" s="13">
        <f t="shared" si="0"/>
        <v>86.432806324110672</v>
      </c>
      <c r="J9" t="s">
        <v>1530</v>
      </c>
    </row>
    <row r="10" spans="1:13" x14ac:dyDescent="0.25">
      <c r="A10">
        <v>1</v>
      </c>
      <c r="B10" t="s">
        <v>1465</v>
      </c>
      <c r="C10" s="3" t="s">
        <v>71</v>
      </c>
      <c r="D10" s="103">
        <v>44327</v>
      </c>
      <c r="F10" s="13">
        <v>9.23</v>
      </c>
      <c r="G10">
        <v>0.52100000000000002</v>
      </c>
      <c r="H10">
        <v>1.8420000000000001</v>
      </c>
      <c r="I10" s="13">
        <f t="shared" si="0"/>
        <v>85.687973997833154</v>
      </c>
      <c r="J10" t="s">
        <v>1530</v>
      </c>
    </row>
    <row r="11" spans="1:13" x14ac:dyDescent="0.25">
      <c r="A11">
        <v>1</v>
      </c>
      <c r="B11" t="s">
        <v>1466</v>
      </c>
      <c r="C11" s="21" t="s">
        <v>54</v>
      </c>
      <c r="D11" s="103">
        <v>44327</v>
      </c>
      <c r="F11" s="13">
        <v>10.84</v>
      </c>
      <c r="G11">
        <v>0.47899999999999998</v>
      </c>
      <c r="H11">
        <v>2.0190000000000001</v>
      </c>
      <c r="I11" s="13">
        <f t="shared" si="0"/>
        <v>85.793357933579344</v>
      </c>
      <c r="J11" t="s">
        <v>1530</v>
      </c>
    </row>
    <row r="12" spans="1:13" x14ac:dyDescent="0.25">
      <c r="A12">
        <v>1</v>
      </c>
      <c r="B12" t="s">
        <v>1467</v>
      </c>
      <c r="C12" s="15" t="s">
        <v>142</v>
      </c>
      <c r="D12" s="103">
        <v>44327</v>
      </c>
      <c r="F12" s="13">
        <v>10.85</v>
      </c>
      <c r="G12">
        <v>0.47199999999999998</v>
      </c>
      <c r="H12">
        <v>2.024</v>
      </c>
      <c r="I12" s="13">
        <f t="shared" si="0"/>
        <v>85.695852534562206</v>
      </c>
      <c r="J12" t="s">
        <v>1530</v>
      </c>
    </row>
    <row r="13" spans="1:13" x14ac:dyDescent="0.25">
      <c r="A13">
        <v>2</v>
      </c>
      <c r="B13" t="s">
        <v>1468</v>
      </c>
      <c r="C13" s="18" t="s">
        <v>40</v>
      </c>
      <c r="D13" s="104">
        <v>44334.020833333336</v>
      </c>
      <c r="E13">
        <v>27.238</v>
      </c>
      <c r="F13" s="13">
        <v>9.5630000000000006</v>
      </c>
      <c r="G13">
        <v>0.45200000000000001</v>
      </c>
      <c r="H13">
        <v>1.9950000000000001</v>
      </c>
      <c r="I13" s="13">
        <f t="shared" si="0"/>
        <v>83.864895953152768</v>
      </c>
      <c r="J13" t="s">
        <v>1530</v>
      </c>
      <c r="K13" t="s">
        <v>1531</v>
      </c>
      <c r="L13">
        <v>3</v>
      </c>
      <c r="M13">
        <f>L13*5</f>
        <v>15</v>
      </c>
    </row>
    <row r="14" spans="1:13" x14ac:dyDescent="0.25">
      <c r="A14">
        <v>2</v>
      </c>
      <c r="B14" t="s">
        <v>1469</v>
      </c>
      <c r="C14" s="16" t="s">
        <v>142</v>
      </c>
      <c r="D14" s="104">
        <v>44334.055555555555</v>
      </c>
      <c r="E14">
        <v>28.4</v>
      </c>
      <c r="F14" s="13">
        <v>9.9559999999999995</v>
      </c>
      <c r="G14">
        <v>0.47199999999999998</v>
      </c>
      <c r="H14">
        <v>2.04</v>
      </c>
      <c r="I14" s="13">
        <f t="shared" si="0"/>
        <v>84.250703093611889</v>
      </c>
      <c r="J14" t="s">
        <v>1530</v>
      </c>
      <c r="K14" t="s">
        <v>1530</v>
      </c>
    </row>
    <row r="15" spans="1:13" x14ac:dyDescent="0.25">
      <c r="A15">
        <v>2</v>
      </c>
      <c r="B15" t="s">
        <v>1470</v>
      </c>
      <c r="C15" s="15" t="s">
        <v>142</v>
      </c>
      <c r="D15" s="104">
        <v>44334.097916666666</v>
      </c>
      <c r="E15">
        <v>28.12</v>
      </c>
      <c r="F15" s="13">
        <v>9.8859999999999992</v>
      </c>
      <c r="G15">
        <v>0.48599999999999999</v>
      </c>
      <c r="H15">
        <v>1.9319999999999999</v>
      </c>
      <c r="I15" s="13">
        <f t="shared" si="0"/>
        <v>85.373255108233863</v>
      </c>
      <c r="J15" t="s">
        <v>1530</v>
      </c>
      <c r="K15" t="s">
        <v>1531</v>
      </c>
    </row>
    <row r="16" spans="1:13" x14ac:dyDescent="0.25">
      <c r="A16">
        <v>2</v>
      </c>
      <c r="B16" t="s">
        <v>1471</v>
      </c>
      <c r="C16" s="22" t="s">
        <v>40</v>
      </c>
      <c r="D16" s="104">
        <v>44334.10833333333</v>
      </c>
      <c r="E16">
        <v>28.111000000000001</v>
      </c>
      <c r="F16" s="13">
        <v>9.9870000000000001</v>
      </c>
      <c r="G16">
        <v>0.49099999999999999</v>
      </c>
      <c r="H16">
        <v>2.0419999999999998</v>
      </c>
      <c r="I16" s="13">
        <f t="shared" si="0"/>
        <v>84.469810753980184</v>
      </c>
      <c r="J16" t="s">
        <v>1530</v>
      </c>
      <c r="K16" t="s">
        <v>1531</v>
      </c>
    </row>
    <row r="17" spans="1:13" x14ac:dyDescent="0.25">
      <c r="A17">
        <v>2</v>
      </c>
      <c r="B17" t="s">
        <v>1472</v>
      </c>
      <c r="C17" s="18" t="s">
        <v>40</v>
      </c>
      <c r="D17" s="104">
        <v>44334.118055555555</v>
      </c>
      <c r="E17">
        <v>27.117000000000001</v>
      </c>
      <c r="F17" s="13">
        <v>9.4489999999999998</v>
      </c>
      <c r="G17">
        <v>0.47799999999999998</v>
      </c>
      <c r="H17">
        <v>1.8169999999999999</v>
      </c>
      <c r="I17" s="13">
        <f t="shared" si="0"/>
        <v>85.829188273891404</v>
      </c>
      <c r="J17" t="s">
        <v>1530</v>
      </c>
      <c r="K17" t="s">
        <v>1530</v>
      </c>
      <c r="L17">
        <v>0.25</v>
      </c>
      <c r="M17">
        <f t="shared" ref="M17:M63" si="1">L17*5</f>
        <v>1.25</v>
      </c>
    </row>
    <row r="18" spans="1:13" x14ac:dyDescent="0.25">
      <c r="A18">
        <v>2</v>
      </c>
      <c r="B18" t="s">
        <v>1473</v>
      </c>
      <c r="C18" s="15" t="s">
        <v>142</v>
      </c>
      <c r="D18" s="103">
        <v>44334</v>
      </c>
      <c r="E18">
        <v>30.23</v>
      </c>
      <c r="F18" s="13">
        <v>10.74</v>
      </c>
      <c r="G18">
        <v>0.52</v>
      </c>
      <c r="H18">
        <v>2.016</v>
      </c>
      <c r="I18" s="13">
        <f t="shared" si="0"/>
        <v>86.070763500931108</v>
      </c>
      <c r="J18" t="s">
        <v>1530</v>
      </c>
      <c r="K18" t="s">
        <v>1530</v>
      </c>
      <c r="L18">
        <v>1</v>
      </c>
      <c r="M18">
        <f t="shared" si="1"/>
        <v>5</v>
      </c>
    </row>
    <row r="19" spans="1:13" x14ac:dyDescent="0.25">
      <c r="A19">
        <v>2</v>
      </c>
      <c r="B19" s="102" t="s">
        <v>1474</v>
      </c>
      <c r="C19" s="17" t="s">
        <v>146</v>
      </c>
      <c r="D19" s="103" t="s">
        <v>1532</v>
      </c>
      <c r="F19" s="13"/>
      <c r="I19" s="13"/>
    </row>
    <row r="20" spans="1:13" x14ac:dyDescent="0.25">
      <c r="A20">
        <v>2</v>
      </c>
      <c r="B20" t="s">
        <v>1475</v>
      </c>
      <c r="C20" s="18" t="s">
        <v>40</v>
      </c>
      <c r="D20" s="103">
        <v>44334</v>
      </c>
      <c r="E20">
        <v>29.239000000000001</v>
      </c>
      <c r="F20" s="13">
        <v>10.817</v>
      </c>
      <c r="G20">
        <v>0.49299999999999999</v>
      </c>
      <c r="H20">
        <v>2.121</v>
      </c>
      <c r="I20" s="13">
        <f t="shared" si="0"/>
        <v>84.949616344642692</v>
      </c>
      <c r="J20" t="s">
        <v>1530</v>
      </c>
      <c r="K20" t="s">
        <v>1531</v>
      </c>
    </row>
    <row r="21" spans="1:13" x14ac:dyDescent="0.25">
      <c r="A21">
        <v>2</v>
      </c>
      <c r="B21" t="s">
        <v>1476</v>
      </c>
      <c r="C21" s="15" t="s">
        <v>142</v>
      </c>
      <c r="D21" s="104">
        <v>44334.392361111109</v>
      </c>
      <c r="E21">
        <v>25.143999999999998</v>
      </c>
      <c r="F21" s="13">
        <v>9.2279999999999998</v>
      </c>
      <c r="G21">
        <v>0.52800000000000002</v>
      </c>
      <c r="H21">
        <v>1.974</v>
      </c>
      <c r="I21" s="13">
        <f t="shared" si="0"/>
        <v>84.330299089726907</v>
      </c>
      <c r="J21" t="s">
        <v>1530</v>
      </c>
      <c r="K21" t="s">
        <v>1531</v>
      </c>
    </row>
    <row r="22" spans="1:13" x14ac:dyDescent="0.25">
      <c r="A22">
        <v>2</v>
      </c>
      <c r="B22" t="s">
        <v>1477</v>
      </c>
      <c r="C22" s="18" t="s">
        <v>40</v>
      </c>
      <c r="D22" s="103">
        <v>44334</v>
      </c>
      <c r="E22">
        <v>28.224</v>
      </c>
      <c r="F22" s="13">
        <v>10.592000000000001</v>
      </c>
      <c r="G22">
        <v>0.48499999999999999</v>
      </c>
      <c r="H22">
        <v>2.077</v>
      </c>
      <c r="I22" s="13">
        <f t="shared" si="0"/>
        <v>84.969788519637461</v>
      </c>
      <c r="J22" t="s">
        <v>1530</v>
      </c>
      <c r="K22" t="s">
        <v>1530</v>
      </c>
    </row>
    <row r="23" spans="1:13" x14ac:dyDescent="0.25">
      <c r="A23">
        <v>2</v>
      </c>
      <c r="B23" t="s">
        <v>1478</v>
      </c>
      <c r="C23" s="15" t="s">
        <v>142</v>
      </c>
      <c r="D23" s="103">
        <v>44334</v>
      </c>
      <c r="E23">
        <v>33.03</v>
      </c>
      <c r="F23" s="13">
        <v>12</v>
      </c>
      <c r="G23">
        <v>0.51</v>
      </c>
      <c r="H23">
        <v>2.3210000000000002</v>
      </c>
      <c r="I23" s="13">
        <f t="shared" si="0"/>
        <v>84.908333333333331</v>
      </c>
      <c r="J23" t="s">
        <v>1530</v>
      </c>
      <c r="K23" t="s">
        <v>1531</v>
      </c>
    </row>
    <row r="24" spans="1:13" x14ac:dyDescent="0.25">
      <c r="A24">
        <v>2</v>
      </c>
      <c r="B24" t="s">
        <v>1479</v>
      </c>
      <c r="C24" s="15" t="s">
        <v>142</v>
      </c>
      <c r="D24" s="103">
        <v>44334</v>
      </c>
      <c r="E24">
        <v>29.798999999999999</v>
      </c>
      <c r="F24" s="13">
        <v>10.53</v>
      </c>
      <c r="G24">
        <v>0.52300000000000002</v>
      </c>
      <c r="H24">
        <v>2.1440000000000001</v>
      </c>
      <c r="I24" s="13">
        <f t="shared" si="0"/>
        <v>84.605887939221276</v>
      </c>
      <c r="J24" t="s">
        <v>1530</v>
      </c>
      <c r="K24" t="s">
        <v>1530</v>
      </c>
      <c r="L24">
        <v>3</v>
      </c>
      <c r="M24">
        <f t="shared" si="1"/>
        <v>15</v>
      </c>
    </row>
    <row r="25" spans="1:13" x14ac:dyDescent="0.25">
      <c r="A25">
        <v>2</v>
      </c>
      <c r="B25" t="s">
        <v>1480</v>
      </c>
      <c r="C25" s="17" t="s">
        <v>146</v>
      </c>
      <c r="D25" s="103">
        <v>44334</v>
      </c>
      <c r="E25">
        <v>27.526</v>
      </c>
      <c r="F25" s="13">
        <v>10.53</v>
      </c>
      <c r="G25">
        <v>0.50600000000000001</v>
      </c>
      <c r="H25">
        <v>2.0430000000000001</v>
      </c>
      <c r="I25" s="13">
        <f t="shared" si="0"/>
        <v>85.403608736942076</v>
      </c>
      <c r="J25" t="s">
        <v>1530</v>
      </c>
      <c r="K25" t="s">
        <v>1530</v>
      </c>
      <c r="L25">
        <v>1</v>
      </c>
      <c r="M25">
        <f t="shared" si="1"/>
        <v>5</v>
      </c>
    </row>
    <row r="26" spans="1:13" x14ac:dyDescent="0.25">
      <c r="A26">
        <v>2</v>
      </c>
      <c r="B26" t="s">
        <v>1481</v>
      </c>
      <c r="C26" s="15" t="s">
        <v>142</v>
      </c>
      <c r="D26" s="103">
        <v>44334</v>
      </c>
      <c r="E26">
        <v>24.41</v>
      </c>
      <c r="F26" s="13">
        <v>9.0090000000000003</v>
      </c>
      <c r="G26">
        <v>0.52500000000000002</v>
      </c>
      <c r="H26">
        <v>1.851</v>
      </c>
      <c r="I26" s="13">
        <f t="shared" si="0"/>
        <v>85.281385281385283</v>
      </c>
      <c r="J26" t="s">
        <v>1530</v>
      </c>
      <c r="K26" t="s">
        <v>1531</v>
      </c>
    </row>
    <row r="27" spans="1:13" x14ac:dyDescent="0.25">
      <c r="A27">
        <v>2</v>
      </c>
      <c r="B27" t="s">
        <v>1482</v>
      </c>
      <c r="C27" s="15" t="s">
        <v>142</v>
      </c>
      <c r="D27" s="103">
        <v>44334</v>
      </c>
      <c r="E27">
        <v>27.76</v>
      </c>
      <c r="F27" s="13">
        <v>10.196999999999999</v>
      </c>
      <c r="G27">
        <v>0.51600000000000001</v>
      </c>
      <c r="H27">
        <v>1.992</v>
      </c>
      <c r="I27" s="13">
        <f t="shared" si="0"/>
        <v>85.525154457193281</v>
      </c>
      <c r="J27" t="s">
        <v>1530</v>
      </c>
      <c r="K27" t="s">
        <v>1531</v>
      </c>
    </row>
    <row r="28" spans="1:13" x14ac:dyDescent="0.25">
      <c r="A28">
        <v>2</v>
      </c>
      <c r="B28" t="s">
        <v>1483</v>
      </c>
      <c r="C28" s="17" t="s">
        <v>146</v>
      </c>
      <c r="D28" s="103">
        <v>44334</v>
      </c>
      <c r="E28">
        <v>25.22</v>
      </c>
      <c r="F28" s="13">
        <v>9.44</v>
      </c>
      <c r="G28">
        <v>0.47499999999999998</v>
      </c>
      <c r="H28">
        <v>1.8440000000000001</v>
      </c>
      <c r="I28" s="13">
        <f t="shared" si="0"/>
        <v>85.497881355932208</v>
      </c>
      <c r="J28" t="s">
        <v>1530</v>
      </c>
      <c r="K28" t="s">
        <v>1531</v>
      </c>
    </row>
    <row r="29" spans="1:13" x14ac:dyDescent="0.25">
      <c r="A29">
        <v>2</v>
      </c>
      <c r="B29" t="s">
        <v>1484</v>
      </c>
      <c r="C29" s="3" t="s">
        <v>71</v>
      </c>
      <c r="D29" s="103">
        <v>44334</v>
      </c>
      <c r="E29">
        <v>28</v>
      </c>
      <c r="F29" s="13">
        <v>10.134</v>
      </c>
      <c r="G29">
        <v>0.495</v>
      </c>
      <c r="H29">
        <v>1.8320000000000001</v>
      </c>
      <c r="I29" s="13">
        <f t="shared" si="0"/>
        <v>86.806789027037695</v>
      </c>
      <c r="J29" t="s">
        <v>1530</v>
      </c>
      <c r="K29" t="s">
        <v>1530</v>
      </c>
      <c r="L29">
        <v>0.25</v>
      </c>
      <c r="M29">
        <f t="shared" si="1"/>
        <v>1.25</v>
      </c>
    </row>
    <row r="30" spans="1:13" x14ac:dyDescent="0.25">
      <c r="A30">
        <v>2</v>
      </c>
      <c r="B30" t="s">
        <v>1485</v>
      </c>
      <c r="C30" s="4" t="s">
        <v>54</v>
      </c>
      <c r="D30" s="103">
        <v>44334</v>
      </c>
      <c r="E30">
        <v>27.68</v>
      </c>
      <c r="F30" s="13">
        <v>9.8350000000000009</v>
      </c>
      <c r="G30">
        <v>0.48099999999999998</v>
      </c>
      <c r="H30">
        <v>1.9490000000000001</v>
      </c>
      <c r="I30" s="13">
        <f t="shared" si="0"/>
        <v>85.073716319267916</v>
      </c>
      <c r="J30" t="s">
        <v>1530</v>
      </c>
      <c r="K30" t="s">
        <v>1530</v>
      </c>
      <c r="L30">
        <v>0</v>
      </c>
      <c r="M30">
        <f t="shared" si="1"/>
        <v>0</v>
      </c>
    </row>
    <row r="31" spans="1:13" x14ac:dyDescent="0.25">
      <c r="A31">
        <v>2</v>
      </c>
      <c r="B31" t="s">
        <v>1486</v>
      </c>
      <c r="C31" s="17" t="s">
        <v>146</v>
      </c>
      <c r="D31" s="103">
        <v>44334</v>
      </c>
      <c r="E31">
        <v>27.852</v>
      </c>
      <c r="F31" s="13">
        <v>9.6470000000000002</v>
      </c>
      <c r="G31">
        <v>0.46</v>
      </c>
      <c r="H31">
        <v>1.8360000000000001</v>
      </c>
      <c r="I31" s="13">
        <f t="shared" si="0"/>
        <v>85.736498393282872</v>
      </c>
      <c r="K31" t="s">
        <v>1530</v>
      </c>
      <c r="L31">
        <v>2</v>
      </c>
      <c r="M31">
        <f t="shared" si="1"/>
        <v>10</v>
      </c>
    </row>
    <row r="32" spans="1:13" x14ac:dyDescent="0.25">
      <c r="A32">
        <v>2</v>
      </c>
      <c r="B32" t="s">
        <v>1487</v>
      </c>
      <c r="C32" s="3" t="s">
        <v>71</v>
      </c>
      <c r="D32" s="103">
        <v>44334</v>
      </c>
      <c r="E32">
        <v>27.734000000000002</v>
      </c>
      <c r="F32" s="13">
        <v>9.6349999999999998</v>
      </c>
      <c r="G32">
        <v>0.496</v>
      </c>
      <c r="H32">
        <v>1.9</v>
      </c>
      <c r="I32" s="13">
        <f t="shared" si="0"/>
        <v>85.428126621691746</v>
      </c>
      <c r="J32" t="s">
        <v>1530</v>
      </c>
      <c r="K32" t="s">
        <v>1530</v>
      </c>
      <c r="L32">
        <v>1.75</v>
      </c>
      <c r="M32">
        <f t="shared" si="1"/>
        <v>8.75</v>
      </c>
    </row>
    <row r="33" spans="1:13" x14ac:dyDescent="0.25">
      <c r="A33">
        <v>2</v>
      </c>
      <c r="B33" t="s">
        <v>1488</v>
      </c>
      <c r="C33" s="4" t="s">
        <v>54</v>
      </c>
      <c r="D33" s="103">
        <v>44334</v>
      </c>
      <c r="E33">
        <v>28.5</v>
      </c>
      <c r="F33" s="13">
        <v>11.061999999999999</v>
      </c>
      <c r="G33">
        <v>0.48299999999999998</v>
      </c>
      <c r="H33">
        <v>2.1579999999999999</v>
      </c>
      <c r="I33" s="13">
        <f t="shared" si="0"/>
        <v>84.85807268125113</v>
      </c>
      <c r="J33" t="s">
        <v>1530</v>
      </c>
      <c r="K33" t="s">
        <v>1530</v>
      </c>
      <c r="L33">
        <v>0</v>
      </c>
      <c r="M33">
        <f t="shared" si="1"/>
        <v>0</v>
      </c>
    </row>
    <row r="34" spans="1:13" x14ac:dyDescent="0.25">
      <c r="A34">
        <v>2</v>
      </c>
      <c r="B34" t="s">
        <v>1489</v>
      </c>
      <c r="C34" s="17" t="s">
        <v>146</v>
      </c>
      <c r="D34" s="103">
        <v>44334</v>
      </c>
      <c r="E34">
        <v>27.841000000000001</v>
      </c>
      <c r="F34" s="13">
        <v>9.2560000000000002</v>
      </c>
      <c r="G34">
        <v>0.48899999999999999</v>
      </c>
      <c r="H34">
        <v>1.7649999999999999</v>
      </c>
      <c r="I34" s="13">
        <f t="shared" si="0"/>
        <v>86.214347450302512</v>
      </c>
      <c r="J34" t="s">
        <v>1530</v>
      </c>
      <c r="K34" t="s">
        <v>1530</v>
      </c>
      <c r="L34">
        <v>2</v>
      </c>
      <c r="M34">
        <f t="shared" si="1"/>
        <v>10</v>
      </c>
    </row>
    <row r="35" spans="1:13" x14ac:dyDescent="0.25">
      <c r="A35">
        <v>2</v>
      </c>
      <c r="B35" t="s">
        <v>1490</v>
      </c>
      <c r="C35" s="3" t="s">
        <v>71</v>
      </c>
      <c r="D35" s="103">
        <v>44334</v>
      </c>
      <c r="E35">
        <v>29.681000000000001</v>
      </c>
      <c r="F35" s="13">
        <v>10.385999999999999</v>
      </c>
      <c r="G35">
        <v>0.52200000000000002</v>
      </c>
      <c r="H35">
        <v>1.9590000000000001</v>
      </c>
      <c r="I35" s="13">
        <f t="shared" si="0"/>
        <v>86.164067013287109</v>
      </c>
      <c r="J35" t="s">
        <v>1530</v>
      </c>
      <c r="K35" t="s">
        <v>1530</v>
      </c>
      <c r="L35">
        <v>0</v>
      </c>
      <c r="M35">
        <f t="shared" si="1"/>
        <v>0</v>
      </c>
    </row>
    <row r="36" spans="1:13" x14ac:dyDescent="0.25">
      <c r="A36">
        <v>2</v>
      </c>
      <c r="B36" t="s">
        <v>1491</v>
      </c>
      <c r="C36" s="67" t="s">
        <v>54</v>
      </c>
      <c r="D36" s="103">
        <v>44334</v>
      </c>
      <c r="E36">
        <v>29.466000000000001</v>
      </c>
      <c r="F36" s="13">
        <v>10.8164</v>
      </c>
      <c r="G36">
        <v>0.52300000000000002</v>
      </c>
      <c r="H36">
        <v>2.2549999999999999</v>
      </c>
      <c r="I36" s="13">
        <f t="shared" si="0"/>
        <v>83.987278576975697</v>
      </c>
      <c r="J36" t="s">
        <v>1530</v>
      </c>
      <c r="K36" t="s">
        <v>1530</v>
      </c>
      <c r="L36">
        <v>0</v>
      </c>
      <c r="M36">
        <f t="shared" si="1"/>
        <v>0</v>
      </c>
    </row>
    <row r="37" spans="1:13" x14ac:dyDescent="0.25">
      <c r="A37">
        <v>2</v>
      </c>
      <c r="B37" t="s">
        <v>1492</v>
      </c>
      <c r="C37" s="17" t="s">
        <v>146</v>
      </c>
      <c r="D37" s="103">
        <v>44334</v>
      </c>
      <c r="E37">
        <v>28.423999999999999</v>
      </c>
      <c r="F37" s="13">
        <v>9.82</v>
      </c>
      <c r="G37">
        <v>0.49399999999999999</v>
      </c>
      <c r="H37">
        <v>1.903</v>
      </c>
      <c r="I37" s="13">
        <f t="shared" si="0"/>
        <v>85.651731160896134</v>
      </c>
      <c r="J37" t="s">
        <v>1530</v>
      </c>
      <c r="K37" t="s">
        <v>1530</v>
      </c>
      <c r="L37">
        <v>1.5</v>
      </c>
      <c r="M37">
        <f t="shared" si="1"/>
        <v>7.5</v>
      </c>
    </row>
    <row r="38" spans="1:13" x14ac:dyDescent="0.25">
      <c r="A38">
        <v>2</v>
      </c>
      <c r="B38" t="s">
        <v>1493</v>
      </c>
      <c r="C38" s="15" t="s">
        <v>142</v>
      </c>
      <c r="D38" s="103">
        <v>44334</v>
      </c>
      <c r="E38">
        <v>29.905999999999999</v>
      </c>
      <c r="F38" s="13">
        <v>10.323</v>
      </c>
      <c r="G38">
        <v>0.503</v>
      </c>
      <c r="H38">
        <v>2.0230000000000001</v>
      </c>
      <c r="I38" s="13">
        <f t="shared" si="0"/>
        <v>85.275598178823984</v>
      </c>
      <c r="J38" t="s">
        <v>1530</v>
      </c>
      <c r="K38" t="s">
        <v>1531</v>
      </c>
    </row>
    <row r="39" spans="1:13" x14ac:dyDescent="0.25">
      <c r="A39">
        <v>2</v>
      </c>
      <c r="B39" t="s">
        <v>1494</v>
      </c>
      <c r="C39" s="17" t="s">
        <v>146</v>
      </c>
      <c r="D39" s="103">
        <v>44334</v>
      </c>
      <c r="E39">
        <v>27.937999999999999</v>
      </c>
      <c r="F39" s="13">
        <v>9.8480000000000008</v>
      </c>
      <c r="G39">
        <v>0.46700000000000003</v>
      </c>
      <c r="H39">
        <v>1.954</v>
      </c>
      <c r="I39" s="13">
        <f t="shared" si="0"/>
        <v>84.900487408610886</v>
      </c>
      <c r="J39" t="s">
        <v>1530</v>
      </c>
      <c r="K39" t="s">
        <v>1530</v>
      </c>
      <c r="L39" s="102">
        <v>7.5</v>
      </c>
      <c r="M39">
        <f t="shared" si="1"/>
        <v>37.5</v>
      </c>
    </row>
    <row r="40" spans="1:13" x14ac:dyDescent="0.25">
      <c r="A40">
        <v>3</v>
      </c>
      <c r="B40" t="s">
        <v>1495</v>
      </c>
      <c r="C40" s="54" t="s">
        <v>146</v>
      </c>
      <c r="D40" s="104">
        <v>44341.909722222219</v>
      </c>
      <c r="E40">
        <v>27.2</v>
      </c>
      <c r="F40" s="13">
        <v>9.5760000000000005</v>
      </c>
      <c r="G40">
        <v>0.49299999999999999</v>
      </c>
      <c r="I40" s="13"/>
      <c r="J40" t="s">
        <v>1530</v>
      </c>
      <c r="K40" t="s">
        <v>1530</v>
      </c>
      <c r="L40">
        <v>0.75</v>
      </c>
      <c r="M40">
        <f t="shared" si="1"/>
        <v>3.75</v>
      </c>
    </row>
    <row r="41" spans="1:13" x14ac:dyDescent="0.25">
      <c r="A41">
        <v>3</v>
      </c>
      <c r="B41" t="s">
        <v>1496</v>
      </c>
      <c r="C41" s="54" t="s">
        <v>40</v>
      </c>
      <c r="D41" s="104">
        <v>44341.916666666664</v>
      </c>
      <c r="E41">
        <v>24.97</v>
      </c>
      <c r="F41" s="13">
        <v>8.6850000000000005</v>
      </c>
      <c r="G41">
        <v>0.47499999999999998</v>
      </c>
      <c r="I41" s="13"/>
      <c r="J41" t="s">
        <v>1530</v>
      </c>
      <c r="K41" t="s">
        <v>1531</v>
      </c>
    </row>
    <row r="42" spans="1:13" x14ac:dyDescent="0.25">
      <c r="A42">
        <v>3</v>
      </c>
      <c r="B42" t="s">
        <v>1497</v>
      </c>
      <c r="C42" s="54" t="s">
        <v>146</v>
      </c>
      <c r="D42" s="104">
        <v>44341.925694444442</v>
      </c>
      <c r="E42">
        <v>27.114999999999998</v>
      </c>
      <c r="F42" s="13">
        <v>9.0350000000000001</v>
      </c>
      <c r="G42">
        <v>0.48299999999999998</v>
      </c>
      <c r="I42" s="13"/>
      <c r="J42" t="s">
        <v>1530</v>
      </c>
      <c r="K42" t="s">
        <v>1531</v>
      </c>
    </row>
    <row r="43" spans="1:13" x14ac:dyDescent="0.25">
      <c r="A43">
        <v>3</v>
      </c>
      <c r="B43" t="s">
        <v>1498</v>
      </c>
      <c r="C43" s="54" t="s">
        <v>40</v>
      </c>
      <c r="D43" s="105">
        <v>44342.0625</v>
      </c>
      <c r="E43">
        <v>26.3</v>
      </c>
      <c r="F43" s="13">
        <v>9.2289999999999992</v>
      </c>
      <c r="G43">
        <v>0.50800000000000001</v>
      </c>
      <c r="I43" s="13"/>
      <c r="J43" t="s">
        <v>1530</v>
      </c>
      <c r="K43" t="s">
        <v>1531</v>
      </c>
    </row>
    <row r="44" spans="1:13" x14ac:dyDescent="0.25">
      <c r="A44">
        <v>3</v>
      </c>
      <c r="B44" t="s">
        <v>1499</v>
      </c>
      <c r="C44" s="49" t="s">
        <v>40</v>
      </c>
      <c r="D44" s="105">
        <v>44342.087500000001</v>
      </c>
      <c r="E44">
        <v>26.513999999999999</v>
      </c>
      <c r="F44" s="13">
        <v>9.6620000000000008</v>
      </c>
      <c r="G44">
        <v>0.497</v>
      </c>
      <c r="I44" s="13"/>
      <c r="J44" t="s">
        <v>1530</v>
      </c>
      <c r="K44" t="s">
        <v>1531</v>
      </c>
    </row>
    <row r="45" spans="1:13" x14ac:dyDescent="0.25">
      <c r="A45">
        <v>3</v>
      </c>
      <c r="B45" t="s">
        <v>1500</v>
      </c>
      <c r="C45" s="49" t="s">
        <v>142</v>
      </c>
      <c r="D45" s="105">
        <v>44342.104166666664</v>
      </c>
      <c r="E45">
        <v>29.538</v>
      </c>
      <c r="F45" s="13">
        <v>10.617000000000001</v>
      </c>
      <c r="G45">
        <v>0.51700000000000002</v>
      </c>
      <c r="I45" s="13"/>
      <c r="J45" t="s">
        <v>1530</v>
      </c>
      <c r="K45" t="s">
        <v>1530</v>
      </c>
      <c r="L45" s="102">
        <v>1</v>
      </c>
      <c r="M45">
        <f t="shared" si="1"/>
        <v>5</v>
      </c>
    </row>
    <row r="46" spans="1:13" x14ac:dyDescent="0.25">
      <c r="A46">
        <v>3</v>
      </c>
      <c r="B46" t="s">
        <v>1501</v>
      </c>
      <c r="C46" s="49" t="s">
        <v>40</v>
      </c>
      <c r="D46" s="105">
        <v>44342.178472222222</v>
      </c>
      <c r="E46">
        <v>27.771000000000001</v>
      </c>
      <c r="F46" s="13">
        <v>9.7479999999999993</v>
      </c>
      <c r="G46">
        <v>0.45600000000000002</v>
      </c>
      <c r="I46" s="13"/>
      <c r="J46" t="s">
        <v>1530</v>
      </c>
      <c r="K46" t="s">
        <v>1530</v>
      </c>
      <c r="L46">
        <v>0.25</v>
      </c>
      <c r="M46">
        <f t="shared" si="1"/>
        <v>1.25</v>
      </c>
    </row>
    <row r="47" spans="1:13" x14ac:dyDescent="0.25">
      <c r="A47">
        <v>3</v>
      </c>
      <c r="B47" t="s">
        <v>1502</v>
      </c>
      <c r="C47" s="49" t="s">
        <v>142</v>
      </c>
      <c r="D47" s="105">
        <v>44342.193055555559</v>
      </c>
      <c r="E47">
        <v>28.04</v>
      </c>
      <c r="F47" s="13">
        <v>10.314</v>
      </c>
      <c r="G47">
        <v>0.44800000000000001</v>
      </c>
      <c r="I47" s="13"/>
      <c r="J47" t="s">
        <v>1530</v>
      </c>
      <c r="K47" t="s">
        <v>1530</v>
      </c>
    </row>
    <row r="48" spans="1:13" x14ac:dyDescent="0.25">
      <c r="A48">
        <v>3</v>
      </c>
      <c r="B48" t="s">
        <v>1503</v>
      </c>
      <c r="C48" s="49" t="s">
        <v>40</v>
      </c>
      <c r="D48" s="105">
        <v>44342.206250000003</v>
      </c>
      <c r="E48">
        <v>24.57</v>
      </c>
      <c r="F48" s="13">
        <v>8.5389999999999997</v>
      </c>
      <c r="G48">
        <v>0.44800000000000001</v>
      </c>
      <c r="I48" s="13"/>
      <c r="J48" t="s">
        <v>1530</v>
      </c>
      <c r="K48" t="s">
        <v>1531</v>
      </c>
    </row>
    <row r="49" spans="1:13" x14ac:dyDescent="0.25">
      <c r="A49">
        <v>3</v>
      </c>
      <c r="B49" t="s">
        <v>1504</v>
      </c>
      <c r="C49" s="49" t="s">
        <v>142</v>
      </c>
      <c r="D49" s="105">
        <v>44342.21875</v>
      </c>
      <c r="E49">
        <v>26.192</v>
      </c>
      <c r="F49" s="13">
        <v>9.5879999999999992</v>
      </c>
      <c r="G49">
        <v>0.45300000000000001</v>
      </c>
      <c r="I49" s="13"/>
      <c r="J49" t="s">
        <v>1530</v>
      </c>
      <c r="K49" t="s">
        <v>1531</v>
      </c>
    </row>
    <row r="50" spans="1:13" x14ac:dyDescent="0.25">
      <c r="A50">
        <v>3</v>
      </c>
      <c r="B50" t="s">
        <v>1505</v>
      </c>
      <c r="C50" s="49" t="s">
        <v>142</v>
      </c>
      <c r="D50" s="105">
        <v>44342.231249999997</v>
      </c>
      <c r="E50">
        <v>26.16</v>
      </c>
      <c r="F50" s="13">
        <v>9.6769999999999996</v>
      </c>
      <c r="G50">
        <v>0.45300000000000001</v>
      </c>
      <c r="I50" s="13"/>
      <c r="J50" t="s">
        <v>1530</v>
      </c>
      <c r="K50" t="s">
        <v>1530</v>
      </c>
      <c r="L50">
        <v>2</v>
      </c>
      <c r="M50">
        <f t="shared" si="1"/>
        <v>10</v>
      </c>
    </row>
    <row r="51" spans="1:13" x14ac:dyDescent="0.25">
      <c r="A51">
        <v>3</v>
      </c>
      <c r="B51" t="s">
        <v>1506</v>
      </c>
      <c r="C51" s="48" t="s">
        <v>142</v>
      </c>
      <c r="D51" s="105">
        <v>44342.378472222219</v>
      </c>
      <c r="E51">
        <v>26.44</v>
      </c>
      <c r="F51" s="13">
        <v>9.4260000000000002</v>
      </c>
      <c r="G51">
        <v>0.45300000000000001</v>
      </c>
      <c r="I51" s="13"/>
      <c r="J51" t="s">
        <v>1530</v>
      </c>
      <c r="K51" t="s">
        <v>1531</v>
      </c>
    </row>
    <row r="52" spans="1:13" x14ac:dyDescent="0.25">
      <c r="A52">
        <v>3</v>
      </c>
      <c r="B52" t="s">
        <v>1507</v>
      </c>
      <c r="C52" s="48" t="s">
        <v>142</v>
      </c>
      <c r="D52" s="103">
        <v>44342</v>
      </c>
      <c r="E52">
        <v>26.609000000000002</v>
      </c>
      <c r="F52" s="13">
        <v>9.2859999999999996</v>
      </c>
      <c r="G52">
        <v>0.45600000000000002</v>
      </c>
      <c r="I52" s="13"/>
      <c r="J52" t="s">
        <v>1530</v>
      </c>
      <c r="K52" t="s">
        <v>1530</v>
      </c>
      <c r="L52">
        <v>1</v>
      </c>
      <c r="M52">
        <f t="shared" si="1"/>
        <v>5</v>
      </c>
    </row>
    <row r="53" spans="1:13" x14ac:dyDescent="0.25">
      <c r="A53">
        <v>3</v>
      </c>
      <c r="B53" t="s">
        <v>1508</v>
      </c>
      <c r="C53" s="48" t="s">
        <v>40</v>
      </c>
      <c r="D53" s="103">
        <v>44342</v>
      </c>
      <c r="E53">
        <v>26.34</v>
      </c>
      <c r="F53" s="13">
        <v>9.1259999999999994</v>
      </c>
      <c r="G53">
        <v>0.46</v>
      </c>
      <c r="I53" s="13"/>
      <c r="J53" t="s">
        <v>1530</v>
      </c>
      <c r="K53" t="s">
        <v>1531</v>
      </c>
    </row>
    <row r="54" spans="1:13" x14ac:dyDescent="0.25">
      <c r="A54">
        <v>3</v>
      </c>
      <c r="B54" t="s">
        <v>1509</v>
      </c>
      <c r="C54" s="48" t="s">
        <v>146</v>
      </c>
      <c r="D54" s="103">
        <v>44342</v>
      </c>
      <c r="E54">
        <v>27.837</v>
      </c>
      <c r="F54" s="13">
        <v>9.5150000000000006</v>
      </c>
      <c r="G54">
        <v>0.442</v>
      </c>
      <c r="I54" s="13"/>
      <c r="J54" t="s">
        <v>1530</v>
      </c>
      <c r="K54" t="s">
        <v>1530</v>
      </c>
      <c r="L54">
        <v>4</v>
      </c>
      <c r="M54">
        <f t="shared" si="1"/>
        <v>20</v>
      </c>
    </row>
    <row r="55" spans="1:13" x14ac:dyDescent="0.25">
      <c r="A55">
        <v>3</v>
      </c>
      <c r="B55" t="s">
        <v>1510</v>
      </c>
      <c r="C55" s="49" t="s">
        <v>146</v>
      </c>
      <c r="D55" s="103">
        <v>44342</v>
      </c>
      <c r="E55">
        <v>29.966000000000001</v>
      </c>
      <c r="F55" s="13">
        <v>10.69</v>
      </c>
      <c r="G55">
        <v>0.41899999999999998</v>
      </c>
      <c r="I55" s="13"/>
      <c r="J55" t="s">
        <v>1530</v>
      </c>
      <c r="K55" t="s">
        <v>1531</v>
      </c>
    </row>
    <row r="56" spans="1:13" x14ac:dyDescent="0.25">
      <c r="A56">
        <v>3</v>
      </c>
      <c r="B56" t="s">
        <v>1511</v>
      </c>
      <c r="C56" s="48" t="s">
        <v>146</v>
      </c>
      <c r="D56" s="103">
        <v>44342</v>
      </c>
      <c r="E56">
        <v>25.05</v>
      </c>
      <c r="F56" s="13">
        <v>8.4</v>
      </c>
      <c r="G56">
        <v>0.42499999999999999</v>
      </c>
      <c r="I56" s="13"/>
      <c r="J56" t="s">
        <v>1530</v>
      </c>
      <c r="K56" t="s">
        <v>1531</v>
      </c>
    </row>
    <row r="57" spans="1:13" x14ac:dyDescent="0.25">
      <c r="A57">
        <v>3</v>
      </c>
      <c r="B57" t="s">
        <v>1512</v>
      </c>
      <c r="C57" s="48" t="s">
        <v>146</v>
      </c>
      <c r="D57" s="103">
        <v>44342</v>
      </c>
      <c r="E57">
        <v>26.875</v>
      </c>
      <c r="F57" s="13">
        <v>10.093999999999999</v>
      </c>
      <c r="G57">
        <v>0.433</v>
      </c>
      <c r="I57" s="13"/>
      <c r="J57" t="s">
        <v>1530</v>
      </c>
      <c r="K57" t="s">
        <v>1530</v>
      </c>
      <c r="L57">
        <v>2</v>
      </c>
      <c r="M57">
        <f t="shared" si="1"/>
        <v>10</v>
      </c>
    </row>
    <row r="58" spans="1:13" x14ac:dyDescent="0.25">
      <c r="A58">
        <v>3</v>
      </c>
      <c r="B58" t="s">
        <v>1513</v>
      </c>
      <c r="C58" s="48" t="s">
        <v>71</v>
      </c>
      <c r="D58" s="103">
        <v>44342</v>
      </c>
      <c r="E58">
        <v>22.788</v>
      </c>
      <c r="F58" s="13">
        <v>8.6720000000000006</v>
      </c>
      <c r="G58">
        <v>0.433</v>
      </c>
      <c r="I58" s="13"/>
      <c r="J58" t="s">
        <v>1530</v>
      </c>
      <c r="K58" t="s">
        <v>1530</v>
      </c>
      <c r="L58">
        <v>1.25</v>
      </c>
      <c r="M58">
        <f t="shared" si="1"/>
        <v>6.25</v>
      </c>
    </row>
    <row r="59" spans="1:13" x14ac:dyDescent="0.25">
      <c r="A59">
        <v>3</v>
      </c>
      <c r="B59" t="s">
        <v>1514</v>
      </c>
      <c r="C59" s="48" t="s">
        <v>54</v>
      </c>
      <c r="D59" s="103">
        <v>44342</v>
      </c>
      <c r="E59">
        <v>26.42</v>
      </c>
      <c r="F59" s="13">
        <v>9.8460000000000001</v>
      </c>
      <c r="G59">
        <v>0.443</v>
      </c>
      <c r="I59" s="13"/>
      <c r="J59" t="s">
        <v>1530</v>
      </c>
      <c r="K59" t="s">
        <v>1530</v>
      </c>
      <c r="L59">
        <v>0</v>
      </c>
      <c r="M59">
        <f t="shared" si="1"/>
        <v>0</v>
      </c>
    </row>
    <row r="60" spans="1:13" x14ac:dyDescent="0.25">
      <c r="A60">
        <v>3</v>
      </c>
      <c r="B60" t="s">
        <v>1515</v>
      </c>
      <c r="C60" s="48" t="s">
        <v>71</v>
      </c>
      <c r="D60" s="103">
        <v>44342</v>
      </c>
      <c r="E60">
        <v>26.79</v>
      </c>
      <c r="F60" s="13">
        <v>10.3</v>
      </c>
      <c r="G60">
        <v>0.45200000000000001</v>
      </c>
      <c r="I60" s="13"/>
      <c r="J60" t="s">
        <v>1530</v>
      </c>
      <c r="K60" t="s">
        <v>1530</v>
      </c>
      <c r="L60">
        <v>0.25</v>
      </c>
      <c r="M60">
        <f t="shared" si="1"/>
        <v>1.25</v>
      </c>
    </row>
    <row r="61" spans="1:13" x14ac:dyDescent="0.25">
      <c r="A61">
        <v>3</v>
      </c>
      <c r="B61" t="s">
        <v>1516</v>
      </c>
      <c r="C61" s="48" t="s">
        <v>54</v>
      </c>
      <c r="D61" s="103">
        <v>44342</v>
      </c>
      <c r="E61">
        <v>25.565000000000001</v>
      </c>
      <c r="F61" s="13">
        <v>9.7159999999999993</v>
      </c>
      <c r="G61">
        <v>0.42299999999999999</v>
      </c>
      <c r="I61" s="13"/>
      <c r="J61" t="s">
        <v>1530</v>
      </c>
      <c r="K61" t="s">
        <v>1530</v>
      </c>
      <c r="L61">
        <v>0.5</v>
      </c>
      <c r="M61">
        <f t="shared" si="1"/>
        <v>2.5</v>
      </c>
    </row>
    <row r="62" spans="1:13" x14ac:dyDescent="0.25">
      <c r="A62">
        <v>3</v>
      </c>
      <c r="B62" t="s">
        <v>1517</v>
      </c>
      <c r="C62" s="48" t="s">
        <v>71</v>
      </c>
      <c r="D62" s="103">
        <v>44342</v>
      </c>
      <c r="E62">
        <v>28.234000000000002</v>
      </c>
      <c r="F62" s="13">
        <v>10.587999999999999</v>
      </c>
      <c r="G62">
        <v>0.44</v>
      </c>
      <c r="I62" s="13"/>
      <c r="J62" t="s">
        <v>1530</v>
      </c>
      <c r="K62" t="s">
        <v>1530</v>
      </c>
      <c r="L62">
        <v>0</v>
      </c>
      <c r="M62">
        <f t="shared" si="1"/>
        <v>0</v>
      </c>
    </row>
    <row r="63" spans="1:13" x14ac:dyDescent="0.25">
      <c r="A63">
        <v>3</v>
      </c>
      <c r="B63" t="s">
        <v>1518</v>
      </c>
      <c r="C63" s="48" t="s">
        <v>54</v>
      </c>
      <c r="D63" s="103">
        <v>44342</v>
      </c>
      <c r="E63">
        <v>26.02</v>
      </c>
      <c r="F63" s="13">
        <v>9.6340000000000003</v>
      </c>
      <c r="G63">
        <v>0.437</v>
      </c>
      <c r="I63" s="13"/>
      <c r="J63" t="s">
        <v>1530</v>
      </c>
      <c r="K63" t="s">
        <v>1530</v>
      </c>
      <c r="L63">
        <v>0.75</v>
      </c>
      <c r="M63">
        <f t="shared" si="1"/>
        <v>3.75</v>
      </c>
    </row>
    <row r="64" spans="1:13" x14ac:dyDescent="0.25">
      <c r="D64" s="105"/>
    </row>
    <row r="65" spans="4:4" x14ac:dyDescent="0.25">
      <c r="D65" s="105"/>
    </row>
  </sheetData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72"/>
  <sheetViews>
    <sheetView topLeftCell="D1" workbookViewId="0">
      <selection activeCell="S1" sqref="S1"/>
    </sheetView>
  </sheetViews>
  <sheetFormatPr defaultRowHeight="15" x14ac:dyDescent="0.25"/>
  <cols>
    <col min="5" max="5" width="36.85546875" customWidth="1"/>
    <col min="6" max="6" width="9.140625" style="34"/>
    <col min="7" max="7" width="14.28515625" customWidth="1"/>
    <col min="8" max="8" width="10.85546875" customWidth="1"/>
    <col min="9" max="10" width="5.85546875" bestFit="1" customWidth="1"/>
    <col min="11" max="11" width="9.42578125" bestFit="1" customWidth="1"/>
    <col min="12" max="12" width="19.42578125" customWidth="1"/>
    <col min="13" max="13" width="6" customWidth="1"/>
    <col min="25" max="25" width="16.42578125" customWidth="1"/>
  </cols>
  <sheetData>
    <row r="1" spans="1:26" ht="30.75" thickBot="1" x14ac:dyDescent="0.3">
      <c r="A1" t="s">
        <v>366</v>
      </c>
      <c r="B1" t="s">
        <v>394</v>
      </c>
      <c r="C1" s="7" t="s">
        <v>0</v>
      </c>
      <c r="D1" s="8" t="s">
        <v>1</v>
      </c>
      <c r="E1" s="8" t="s">
        <v>2</v>
      </c>
      <c r="F1" s="27" t="s">
        <v>367</v>
      </c>
      <c r="G1" s="8" t="s">
        <v>368</v>
      </c>
      <c r="H1" t="s">
        <v>1533</v>
      </c>
      <c r="I1" t="s">
        <v>1534</v>
      </c>
      <c r="J1" t="s">
        <v>1535</v>
      </c>
      <c r="K1" t="s">
        <v>1536</v>
      </c>
      <c r="L1" t="s">
        <v>1537</v>
      </c>
      <c r="M1" t="s">
        <v>1538</v>
      </c>
      <c r="N1" t="s">
        <v>1539</v>
      </c>
      <c r="O1" t="s">
        <v>1540</v>
      </c>
      <c r="P1" t="s">
        <v>1541</v>
      </c>
      <c r="Q1" t="s">
        <v>1542</v>
      </c>
      <c r="R1" t="s">
        <v>1543</v>
      </c>
      <c r="S1" t="s">
        <v>1544</v>
      </c>
      <c r="T1" t="s">
        <v>1545</v>
      </c>
      <c r="U1" t="s">
        <v>1546</v>
      </c>
      <c r="V1" t="s">
        <v>1547</v>
      </c>
      <c r="W1" t="s">
        <v>1548</v>
      </c>
      <c r="X1" t="s">
        <v>1549</v>
      </c>
      <c r="Y1" t="s">
        <v>1550</v>
      </c>
      <c r="Z1" s="121" t="s">
        <v>1555</v>
      </c>
    </row>
    <row r="2" spans="1:26" x14ac:dyDescent="0.25">
      <c r="A2" t="str">
        <f t="shared" ref="A2:A33" si="0">C2&amp;D2</f>
        <v>H1</v>
      </c>
      <c r="B2">
        <v>111</v>
      </c>
      <c r="C2" s="1" t="s">
        <v>53</v>
      </c>
      <c r="D2">
        <v>1</v>
      </c>
      <c r="E2" s="21" t="s">
        <v>54</v>
      </c>
      <c r="F2" s="33" t="s">
        <v>60</v>
      </c>
      <c r="G2" s="10">
        <v>1165</v>
      </c>
      <c r="H2">
        <v>6.99</v>
      </c>
      <c r="I2">
        <v>20.399999999999999</v>
      </c>
      <c r="J2">
        <v>182</v>
      </c>
      <c r="K2">
        <v>12</v>
      </c>
      <c r="L2">
        <v>1</v>
      </c>
      <c r="M2">
        <v>348</v>
      </c>
      <c r="N2">
        <v>0.94</v>
      </c>
      <c r="O2">
        <v>58</v>
      </c>
      <c r="P2">
        <v>0</v>
      </c>
      <c r="Q2">
        <v>0.9</v>
      </c>
      <c r="R2">
        <v>74</v>
      </c>
      <c r="S2">
        <v>2.2000000000000002</v>
      </c>
      <c r="T2">
        <v>18</v>
      </c>
      <c r="U2">
        <v>0</v>
      </c>
      <c r="V2">
        <v>0.03</v>
      </c>
      <c r="W2">
        <v>152.80000000000001</v>
      </c>
      <c r="X2">
        <v>21.1</v>
      </c>
      <c r="Y2">
        <v>4.9000000000000004</v>
      </c>
      <c r="Z2">
        <v>57.645000000000003</v>
      </c>
    </row>
    <row r="3" spans="1:26" x14ac:dyDescent="0.25">
      <c r="A3" t="str">
        <f t="shared" si="0"/>
        <v>L1</v>
      </c>
      <c r="B3">
        <v>113</v>
      </c>
      <c r="C3" s="1" t="s">
        <v>58</v>
      </c>
      <c r="D3">
        <v>1</v>
      </c>
      <c r="E3" s="4" t="s">
        <v>54</v>
      </c>
      <c r="F3" s="33" t="s">
        <v>49</v>
      </c>
      <c r="G3" s="10">
        <v>1129</v>
      </c>
      <c r="H3" t="s">
        <v>1551</v>
      </c>
      <c r="I3" t="s">
        <v>1551</v>
      </c>
      <c r="J3" t="s">
        <v>1551</v>
      </c>
      <c r="K3" t="s">
        <v>1551</v>
      </c>
      <c r="L3" t="s">
        <v>1551</v>
      </c>
      <c r="M3" t="s">
        <v>1551</v>
      </c>
      <c r="N3" t="s">
        <v>1551</v>
      </c>
      <c r="O3" t="s">
        <v>1551</v>
      </c>
      <c r="P3" t="s">
        <v>1551</v>
      </c>
      <c r="Q3" t="s">
        <v>1551</v>
      </c>
      <c r="R3" t="s">
        <v>1551</v>
      </c>
      <c r="S3" t="s">
        <v>1551</v>
      </c>
      <c r="T3" t="s">
        <v>1551</v>
      </c>
      <c r="U3" t="s">
        <v>1551</v>
      </c>
      <c r="V3" t="s">
        <v>1551</v>
      </c>
      <c r="W3" t="s">
        <v>1551</v>
      </c>
      <c r="X3" t="s">
        <v>1551</v>
      </c>
      <c r="Y3" t="s">
        <v>1551</v>
      </c>
    </row>
    <row r="4" spans="1:26" x14ac:dyDescent="0.25">
      <c r="A4" t="str">
        <f t="shared" si="0"/>
        <v>G2</v>
      </c>
      <c r="B4">
        <v>135</v>
      </c>
      <c r="C4" s="1" t="s">
        <v>51</v>
      </c>
      <c r="D4">
        <v>2</v>
      </c>
      <c r="E4" s="4" t="s">
        <v>54</v>
      </c>
      <c r="F4" s="33" t="s">
        <v>382</v>
      </c>
      <c r="G4" s="1">
        <v>1387</v>
      </c>
      <c r="H4">
        <v>6.16</v>
      </c>
      <c r="I4">
        <v>18.61</v>
      </c>
      <c r="J4">
        <v>38</v>
      </c>
      <c r="K4">
        <v>17</v>
      </c>
      <c r="L4">
        <v>1</v>
      </c>
      <c r="M4">
        <v>305</v>
      </c>
      <c r="N4">
        <v>1.0900000000000001</v>
      </c>
      <c r="O4">
        <v>65</v>
      </c>
      <c r="P4">
        <v>0</v>
      </c>
      <c r="Q4">
        <v>0.9</v>
      </c>
      <c r="R4">
        <v>20</v>
      </c>
      <c r="S4">
        <v>2.6</v>
      </c>
      <c r="T4">
        <v>42</v>
      </c>
      <c r="U4">
        <v>0</v>
      </c>
      <c r="V4">
        <v>0.06</v>
      </c>
      <c r="W4">
        <v>159.5</v>
      </c>
      <c r="X4">
        <v>26.05</v>
      </c>
      <c r="Y4">
        <v>7.4</v>
      </c>
      <c r="Z4">
        <v>41.673000000000002</v>
      </c>
    </row>
    <row r="5" spans="1:26" x14ac:dyDescent="0.25">
      <c r="A5" t="str">
        <f t="shared" si="0"/>
        <v>I2</v>
      </c>
      <c r="B5">
        <v>132</v>
      </c>
      <c r="C5" s="1" t="s">
        <v>56</v>
      </c>
      <c r="D5">
        <v>2</v>
      </c>
      <c r="E5" s="4" t="s">
        <v>54</v>
      </c>
      <c r="F5" s="33" t="s">
        <v>383</v>
      </c>
      <c r="G5" s="1">
        <v>1015.2</v>
      </c>
      <c r="H5">
        <v>6.49</v>
      </c>
      <c r="I5">
        <v>19.510000000000002</v>
      </c>
      <c r="J5">
        <v>82</v>
      </c>
      <c r="K5">
        <v>18</v>
      </c>
      <c r="L5">
        <v>3</v>
      </c>
      <c r="M5">
        <v>270</v>
      </c>
      <c r="N5">
        <v>1.1599999999999999</v>
      </c>
      <c r="O5">
        <v>70</v>
      </c>
      <c r="P5">
        <v>0</v>
      </c>
      <c r="Q5">
        <v>0.9</v>
      </c>
      <c r="R5">
        <v>20</v>
      </c>
      <c r="S5">
        <v>3.1</v>
      </c>
      <c r="T5">
        <v>44</v>
      </c>
      <c r="U5">
        <v>0</v>
      </c>
      <c r="V5">
        <v>0.09</v>
      </c>
      <c r="W5">
        <v>164</v>
      </c>
      <c r="X5">
        <v>24.53</v>
      </c>
      <c r="Y5">
        <v>12.8</v>
      </c>
      <c r="Z5">
        <v>60.984999999999999</v>
      </c>
    </row>
    <row r="6" spans="1:26" x14ac:dyDescent="0.25">
      <c r="A6" s="66" t="str">
        <f t="shared" si="0"/>
        <v>T2</v>
      </c>
      <c r="B6" s="66">
        <v>138</v>
      </c>
      <c r="C6" s="129" t="s">
        <v>386</v>
      </c>
      <c r="D6" s="66">
        <v>2</v>
      </c>
      <c r="E6" s="67" t="s">
        <v>54</v>
      </c>
      <c r="F6" s="133" t="s">
        <v>383</v>
      </c>
      <c r="G6" s="129">
        <v>1193</v>
      </c>
      <c r="H6">
        <v>5.61</v>
      </c>
      <c r="I6">
        <v>16.079999999999998</v>
      </c>
      <c r="J6">
        <v>87</v>
      </c>
      <c r="K6">
        <v>20</v>
      </c>
      <c r="L6">
        <v>2</v>
      </c>
      <c r="M6">
        <v>1341</v>
      </c>
      <c r="N6">
        <v>1.03</v>
      </c>
      <c r="O6">
        <v>91</v>
      </c>
      <c r="P6">
        <v>0</v>
      </c>
      <c r="Q6">
        <v>1.1000000000000001</v>
      </c>
      <c r="R6">
        <v>249</v>
      </c>
      <c r="S6">
        <v>3.9</v>
      </c>
      <c r="T6">
        <v>35</v>
      </c>
      <c r="U6">
        <v>0</v>
      </c>
      <c r="V6">
        <v>0.05</v>
      </c>
      <c r="W6">
        <v>150.6</v>
      </c>
      <c r="X6">
        <v>37.01</v>
      </c>
      <c r="Y6">
        <v>40.799999999999997</v>
      </c>
      <c r="Z6">
        <v>47.313000000000002</v>
      </c>
    </row>
    <row r="7" spans="1:26" x14ac:dyDescent="0.25">
      <c r="A7" t="str">
        <f t="shared" si="0"/>
        <v>K3</v>
      </c>
      <c r="B7">
        <v>161</v>
      </c>
      <c r="C7" s="52" t="s">
        <v>82</v>
      </c>
      <c r="D7">
        <v>3</v>
      </c>
      <c r="E7" s="130" t="s">
        <v>54</v>
      </c>
      <c r="F7" s="53" t="s">
        <v>382</v>
      </c>
      <c r="G7" s="53">
        <v>984</v>
      </c>
      <c r="H7" t="s">
        <v>1551</v>
      </c>
      <c r="I7" t="s">
        <v>1551</v>
      </c>
      <c r="J7" t="s">
        <v>1551</v>
      </c>
      <c r="K7" t="s">
        <v>1551</v>
      </c>
      <c r="L7" t="s">
        <v>1551</v>
      </c>
      <c r="M7" t="s">
        <v>1551</v>
      </c>
      <c r="N7" t="s">
        <v>1551</v>
      </c>
      <c r="O7" t="s">
        <v>1551</v>
      </c>
      <c r="P7" t="s">
        <v>1551</v>
      </c>
      <c r="Q7" t="s">
        <v>1551</v>
      </c>
      <c r="R7" t="s">
        <v>1551</v>
      </c>
      <c r="S7" t="s">
        <v>1551</v>
      </c>
      <c r="T7" t="s">
        <v>1551</v>
      </c>
      <c r="U7" t="s">
        <v>1551</v>
      </c>
      <c r="V7" t="s">
        <v>1551</v>
      </c>
      <c r="W7" t="s">
        <v>1551</v>
      </c>
      <c r="X7" t="s">
        <v>1551</v>
      </c>
      <c r="Y7" t="s">
        <v>1551</v>
      </c>
      <c r="Z7">
        <v>56.212000000000003</v>
      </c>
    </row>
    <row r="8" spans="1:26" x14ac:dyDescent="0.25">
      <c r="A8" t="str">
        <f t="shared" si="0"/>
        <v>Q3</v>
      </c>
      <c r="B8">
        <v>165</v>
      </c>
      <c r="C8" s="52" t="s">
        <v>385</v>
      </c>
      <c r="D8">
        <v>3</v>
      </c>
      <c r="E8" s="75" t="s">
        <v>54</v>
      </c>
      <c r="F8" s="53" t="s">
        <v>383</v>
      </c>
      <c r="G8" s="53">
        <v>676</v>
      </c>
      <c r="H8">
        <v>5.99</v>
      </c>
      <c r="I8">
        <v>18.98</v>
      </c>
      <c r="J8">
        <v>35</v>
      </c>
      <c r="K8">
        <v>15</v>
      </c>
      <c r="L8">
        <v>1</v>
      </c>
      <c r="M8">
        <v>226</v>
      </c>
      <c r="N8">
        <v>1.27</v>
      </c>
      <c r="O8">
        <v>55</v>
      </c>
      <c r="P8">
        <v>0</v>
      </c>
      <c r="Q8">
        <v>0.7</v>
      </c>
      <c r="R8">
        <v>15</v>
      </c>
      <c r="S8">
        <v>2.7</v>
      </c>
      <c r="T8">
        <v>24</v>
      </c>
      <c r="U8">
        <v>0</v>
      </c>
      <c r="V8">
        <v>0.14000000000000001</v>
      </c>
      <c r="W8">
        <v>148.19999999999999</v>
      </c>
      <c r="X8">
        <v>19.559999999999999</v>
      </c>
      <c r="Y8">
        <v>31.2</v>
      </c>
      <c r="Z8">
        <v>57.072000000000003</v>
      </c>
    </row>
    <row r="9" spans="1:26" x14ac:dyDescent="0.25">
      <c r="A9" t="str">
        <f t="shared" si="0"/>
        <v>Æ3</v>
      </c>
      <c r="B9">
        <v>163</v>
      </c>
      <c r="C9" s="52" t="s">
        <v>202</v>
      </c>
      <c r="D9">
        <v>3</v>
      </c>
      <c r="E9" s="75" t="s">
        <v>54</v>
      </c>
      <c r="F9" s="53" t="s">
        <v>382</v>
      </c>
      <c r="G9" s="53">
        <v>908</v>
      </c>
      <c r="H9">
        <v>6.73</v>
      </c>
      <c r="I9">
        <v>20.78</v>
      </c>
      <c r="J9">
        <v>45</v>
      </c>
      <c r="K9">
        <v>14</v>
      </c>
      <c r="L9">
        <v>2</v>
      </c>
      <c r="M9">
        <v>361</v>
      </c>
      <c r="N9">
        <v>1.18</v>
      </c>
      <c r="O9">
        <v>95</v>
      </c>
      <c r="P9">
        <v>0</v>
      </c>
      <c r="Q9">
        <v>0.8</v>
      </c>
      <c r="R9">
        <v>57</v>
      </c>
      <c r="S9">
        <v>4.3</v>
      </c>
      <c r="T9">
        <v>29</v>
      </c>
      <c r="U9">
        <v>0</v>
      </c>
      <c r="V9">
        <v>0.09</v>
      </c>
      <c r="W9">
        <v>153.80000000000001</v>
      </c>
      <c r="X9">
        <v>24.58</v>
      </c>
      <c r="Y9">
        <v>18.899999999999999</v>
      </c>
      <c r="Z9">
        <v>44.26</v>
      </c>
    </row>
    <row r="10" spans="1:26" x14ac:dyDescent="0.25">
      <c r="A10" t="str">
        <f t="shared" si="0"/>
        <v>B1</v>
      </c>
      <c r="B10">
        <v>101</v>
      </c>
      <c r="C10" s="6" t="s">
        <v>39</v>
      </c>
      <c r="D10">
        <v>1</v>
      </c>
      <c r="E10" s="18" t="s">
        <v>40</v>
      </c>
      <c r="F10" s="31" t="s">
        <v>49</v>
      </c>
      <c r="G10" s="5">
        <v>1222</v>
      </c>
      <c r="H10">
        <v>4.7</v>
      </c>
      <c r="I10">
        <v>12.68</v>
      </c>
      <c r="J10">
        <v>175</v>
      </c>
      <c r="K10">
        <v>10</v>
      </c>
      <c r="L10">
        <v>1</v>
      </c>
      <c r="M10">
        <v>113</v>
      </c>
      <c r="N10">
        <v>0.82</v>
      </c>
      <c r="O10">
        <v>103</v>
      </c>
      <c r="P10">
        <v>0</v>
      </c>
      <c r="Q10">
        <v>1.7</v>
      </c>
      <c r="R10">
        <v>16</v>
      </c>
      <c r="S10">
        <v>3.1</v>
      </c>
      <c r="T10">
        <v>33</v>
      </c>
      <c r="U10">
        <v>0</v>
      </c>
      <c r="V10">
        <v>0.09</v>
      </c>
      <c r="W10">
        <v>147</v>
      </c>
      <c r="X10">
        <v>25.56</v>
      </c>
      <c r="Y10">
        <v>11.9</v>
      </c>
      <c r="Z10">
        <v>109.627</v>
      </c>
    </row>
    <row r="11" spans="1:26" x14ac:dyDescent="0.25">
      <c r="A11" t="str">
        <f t="shared" si="0"/>
        <v>F1</v>
      </c>
      <c r="B11">
        <v>105</v>
      </c>
      <c r="C11" s="6" t="s">
        <v>49</v>
      </c>
      <c r="D11">
        <v>1</v>
      </c>
      <c r="E11" s="18" t="s">
        <v>40</v>
      </c>
      <c r="F11" s="31" t="s">
        <v>49</v>
      </c>
      <c r="G11" s="5">
        <v>1038.5</v>
      </c>
      <c r="H11">
        <v>4.24</v>
      </c>
      <c r="I11">
        <v>10.76</v>
      </c>
      <c r="J11">
        <v>763</v>
      </c>
      <c r="K11">
        <v>23</v>
      </c>
      <c r="L11">
        <v>0</v>
      </c>
      <c r="M11">
        <v>1211</v>
      </c>
      <c r="N11">
        <v>0.81</v>
      </c>
      <c r="O11">
        <v>141</v>
      </c>
      <c r="P11">
        <v>0</v>
      </c>
      <c r="Q11">
        <v>1.8</v>
      </c>
      <c r="R11">
        <v>136</v>
      </c>
      <c r="S11">
        <v>4.4000000000000004</v>
      </c>
      <c r="T11">
        <v>36</v>
      </c>
      <c r="U11">
        <v>0</v>
      </c>
      <c r="V11">
        <v>0.23</v>
      </c>
      <c r="W11">
        <v>146.80000000000001</v>
      </c>
      <c r="X11">
        <v>26.07</v>
      </c>
      <c r="Y11">
        <v>54.8</v>
      </c>
      <c r="Z11">
        <v>47.143000000000001</v>
      </c>
    </row>
    <row r="12" spans="1:26" x14ac:dyDescent="0.25">
      <c r="A12" t="str">
        <f t="shared" si="0"/>
        <v>I1</v>
      </c>
      <c r="B12">
        <v>107</v>
      </c>
      <c r="C12" s="6" t="s">
        <v>56</v>
      </c>
      <c r="D12">
        <v>1</v>
      </c>
      <c r="E12" s="22" t="s">
        <v>40</v>
      </c>
      <c r="F12" s="31" t="s">
        <v>60</v>
      </c>
      <c r="G12" s="5">
        <v>1075</v>
      </c>
      <c r="H12">
        <v>5.63</v>
      </c>
      <c r="I12">
        <v>17.71</v>
      </c>
      <c r="J12">
        <v>118</v>
      </c>
      <c r="K12">
        <v>11</v>
      </c>
      <c r="L12">
        <v>2</v>
      </c>
      <c r="M12">
        <v>134</v>
      </c>
      <c r="N12">
        <v>0.98</v>
      </c>
      <c r="O12">
        <v>93</v>
      </c>
      <c r="P12">
        <v>0</v>
      </c>
      <c r="Q12">
        <v>0.8</v>
      </c>
      <c r="R12">
        <v>16</v>
      </c>
      <c r="S12">
        <v>3.2</v>
      </c>
      <c r="T12">
        <v>18</v>
      </c>
      <c r="U12">
        <v>0</v>
      </c>
      <c r="V12">
        <v>0.08</v>
      </c>
      <c r="W12">
        <v>145.19999999999999</v>
      </c>
      <c r="X12">
        <v>26.03</v>
      </c>
      <c r="Y12">
        <v>35</v>
      </c>
      <c r="Z12">
        <v>57.698</v>
      </c>
    </row>
    <row r="13" spans="1:26" x14ac:dyDescent="0.25">
      <c r="A13" t="str">
        <f t="shared" si="0"/>
        <v>N1</v>
      </c>
      <c r="B13">
        <v>102</v>
      </c>
      <c r="C13" s="6" t="s">
        <v>62</v>
      </c>
      <c r="D13">
        <v>1</v>
      </c>
      <c r="E13" s="18" t="s">
        <v>40</v>
      </c>
      <c r="F13" s="31" t="s">
        <v>60</v>
      </c>
      <c r="G13" s="5">
        <v>1468</v>
      </c>
      <c r="H13">
        <v>4.3499999999999996</v>
      </c>
      <c r="I13">
        <v>9.11</v>
      </c>
      <c r="J13">
        <v>908</v>
      </c>
      <c r="K13">
        <v>9</v>
      </c>
      <c r="L13">
        <v>0</v>
      </c>
      <c r="M13">
        <v>203</v>
      </c>
      <c r="N13">
        <v>0.54</v>
      </c>
      <c r="O13">
        <v>92</v>
      </c>
      <c r="P13">
        <v>0</v>
      </c>
      <c r="Q13">
        <v>2.1</v>
      </c>
      <c r="R13">
        <v>24</v>
      </c>
      <c r="S13">
        <v>3.5</v>
      </c>
      <c r="T13">
        <v>27</v>
      </c>
      <c r="U13">
        <v>0</v>
      </c>
      <c r="V13">
        <v>0.15</v>
      </c>
      <c r="W13">
        <v>131.80000000000001</v>
      </c>
      <c r="X13">
        <v>23.2</v>
      </c>
      <c r="Y13" t="s">
        <v>1551</v>
      </c>
      <c r="Z13">
        <v>43.69</v>
      </c>
    </row>
    <row r="14" spans="1:26" x14ac:dyDescent="0.25">
      <c r="A14" t="str">
        <f t="shared" si="0"/>
        <v>F2</v>
      </c>
      <c r="B14">
        <v>119</v>
      </c>
      <c r="C14" s="6" t="s">
        <v>49</v>
      </c>
      <c r="D14">
        <v>2</v>
      </c>
      <c r="E14" s="18" t="s">
        <v>40</v>
      </c>
      <c r="F14" s="31" t="s">
        <v>383</v>
      </c>
      <c r="G14" s="6">
        <v>1189</v>
      </c>
      <c r="H14">
        <v>5.28</v>
      </c>
      <c r="I14">
        <v>14.12</v>
      </c>
      <c r="J14">
        <v>71</v>
      </c>
      <c r="K14">
        <v>14</v>
      </c>
      <c r="L14">
        <v>1</v>
      </c>
      <c r="M14">
        <v>307</v>
      </c>
      <c r="N14">
        <v>0.96</v>
      </c>
      <c r="O14">
        <v>63</v>
      </c>
      <c r="P14">
        <v>0</v>
      </c>
      <c r="Q14">
        <v>1.4</v>
      </c>
      <c r="R14">
        <v>30</v>
      </c>
      <c r="S14">
        <v>3</v>
      </c>
      <c r="T14">
        <v>63</v>
      </c>
      <c r="U14">
        <v>0</v>
      </c>
      <c r="V14">
        <v>0.06</v>
      </c>
      <c r="W14">
        <v>148</v>
      </c>
      <c r="X14">
        <v>26.05</v>
      </c>
      <c r="Y14">
        <v>34</v>
      </c>
      <c r="Z14">
        <v>56.137</v>
      </c>
    </row>
    <row r="15" spans="1:26" x14ac:dyDescent="0.25">
      <c r="A15" t="str">
        <f t="shared" si="0"/>
        <v>H2</v>
      </c>
      <c r="B15">
        <v>999</v>
      </c>
      <c r="C15" s="6" t="s">
        <v>53</v>
      </c>
      <c r="D15">
        <v>2</v>
      </c>
      <c r="E15" s="22" t="s">
        <v>40</v>
      </c>
      <c r="F15" s="31" t="s">
        <v>383</v>
      </c>
      <c r="G15" s="6">
        <v>1243</v>
      </c>
    </row>
    <row r="16" spans="1:26" x14ac:dyDescent="0.25">
      <c r="A16" t="str">
        <f t="shared" si="0"/>
        <v>N2</v>
      </c>
      <c r="B16">
        <v>115</v>
      </c>
      <c r="C16" s="6" t="s">
        <v>62</v>
      </c>
      <c r="D16">
        <v>2</v>
      </c>
      <c r="E16" s="18" t="s">
        <v>40</v>
      </c>
      <c r="F16" s="31" t="s">
        <v>383</v>
      </c>
      <c r="G16" s="6">
        <v>791</v>
      </c>
      <c r="H16">
        <v>5.63</v>
      </c>
      <c r="I16">
        <v>13.05</v>
      </c>
      <c r="J16">
        <v>110</v>
      </c>
      <c r="K16">
        <v>15</v>
      </c>
      <c r="L16">
        <v>0</v>
      </c>
      <c r="M16">
        <v>408</v>
      </c>
      <c r="N16">
        <v>1.1599999999999999</v>
      </c>
      <c r="O16">
        <v>80</v>
      </c>
      <c r="P16">
        <v>0</v>
      </c>
      <c r="Q16">
        <v>3.1</v>
      </c>
      <c r="R16">
        <v>30</v>
      </c>
      <c r="S16">
        <v>3.4</v>
      </c>
      <c r="T16">
        <v>56</v>
      </c>
      <c r="U16">
        <v>0</v>
      </c>
      <c r="V16">
        <v>0.17</v>
      </c>
      <c r="W16">
        <v>160.6</v>
      </c>
      <c r="X16">
        <v>24.39</v>
      </c>
      <c r="Y16">
        <v>37.6</v>
      </c>
      <c r="Z16">
        <v>60.960999999999999</v>
      </c>
    </row>
    <row r="17" spans="1:26" x14ac:dyDescent="0.25">
      <c r="A17" t="str">
        <f t="shared" si="0"/>
        <v>Q2</v>
      </c>
      <c r="B17">
        <v>124</v>
      </c>
      <c r="C17" s="6" t="s">
        <v>385</v>
      </c>
      <c r="D17">
        <v>2</v>
      </c>
      <c r="E17" s="18" t="s">
        <v>40</v>
      </c>
      <c r="F17" s="31" t="s">
        <v>382</v>
      </c>
      <c r="G17" s="6">
        <v>793.5</v>
      </c>
      <c r="H17">
        <v>3.73</v>
      </c>
      <c r="I17">
        <v>12.75</v>
      </c>
      <c r="J17">
        <v>38</v>
      </c>
      <c r="K17">
        <v>11</v>
      </c>
      <c r="L17">
        <v>2</v>
      </c>
      <c r="M17">
        <v>87</v>
      </c>
      <c r="N17">
        <v>0.84</v>
      </c>
      <c r="O17">
        <v>106</v>
      </c>
      <c r="P17">
        <v>0</v>
      </c>
      <c r="Q17">
        <v>1.2</v>
      </c>
      <c r="R17">
        <v>14</v>
      </c>
      <c r="S17">
        <v>3.3</v>
      </c>
      <c r="T17">
        <v>39</v>
      </c>
      <c r="U17">
        <v>0</v>
      </c>
      <c r="V17">
        <v>0.05</v>
      </c>
      <c r="W17">
        <v>149</v>
      </c>
      <c r="X17">
        <v>30.15</v>
      </c>
      <c r="Y17">
        <v>7.6</v>
      </c>
      <c r="Z17">
        <v>73.966999999999999</v>
      </c>
    </row>
    <row r="18" spans="1:26" x14ac:dyDescent="0.25">
      <c r="A18" t="str">
        <f t="shared" si="0"/>
        <v>R2</v>
      </c>
      <c r="B18">
        <v>118</v>
      </c>
      <c r="C18" s="6" t="s">
        <v>68</v>
      </c>
      <c r="D18">
        <v>2</v>
      </c>
      <c r="E18" s="22" t="s">
        <v>40</v>
      </c>
      <c r="F18" s="31" t="s">
        <v>382</v>
      </c>
      <c r="G18" s="6">
        <v>1303</v>
      </c>
      <c r="H18">
        <v>5.41</v>
      </c>
      <c r="I18">
        <v>14.16</v>
      </c>
      <c r="J18">
        <v>74</v>
      </c>
      <c r="K18">
        <v>16</v>
      </c>
      <c r="L18">
        <v>0</v>
      </c>
      <c r="M18">
        <v>518</v>
      </c>
      <c r="N18">
        <v>1.1299999999999999</v>
      </c>
      <c r="O18">
        <v>116</v>
      </c>
      <c r="P18">
        <v>0</v>
      </c>
      <c r="Q18">
        <v>1.2</v>
      </c>
      <c r="R18">
        <v>39</v>
      </c>
      <c r="S18">
        <v>3.6</v>
      </c>
      <c r="T18">
        <v>45</v>
      </c>
      <c r="U18">
        <v>0</v>
      </c>
      <c r="V18">
        <v>0.11</v>
      </c>
      <c r="W18">
        <v>159.80000000000001</v>
      </c>
      <c r="X18">
        <v>22.13</v>
      </c>
      <c r="Y18">
        <v>16.399999999999999</v>
      </c>
      <c r="Z18">
        <v>66.846999999999994</v>
      </c>
    </row>
    <row r="19" spans="1:26" x14ac:dyDescent="0.25">
      <c r="A19" t="str">
        <f t="shared" si="0"/>
        <v>Y2</v>
      </c>
      <c r="B19">
        <v>122</v>
      </c>
      <c r="C19" s="6" t="s">
        <v>384</v>
      </c>
      <c r="D19">
        <v>2</v>
      </c>
      <c r="E19" s="18" t="s">
        <v>40</v>
      </c>
      <c r="F19" s="31" t="s">
        <v>383</v>
      </c>
      <c r="G19" s="6">
        <v>1340.4</v>
      </c>
      <c r="H19">
        <v>4.5999999999999996</v>
      </c>
      <c r="I19">
        <v>13.52</v>
      </c>
      <c r="J19">
        <v>31</v>
      </c>
      <c r="K19">
        <v>12</v>
      </c>
      <c r="L19">
        <v>2</v>
      </c>
      <c r="M19">
        <v>256</v>
      </c>
      <c r="N19">
        <v>0.87</v>
      </c>
      <c r="O19">
        <v>111</v>
      </c>
      <c r="P19">
        <v>0</v>
      </c>
      <c r="Q19">
        <v>0.9</v>
      </c>
      <c r="R19">
        <v>36</v>
      </c>
      <c r="S19">
        <v>3.3</v>
      </c>
      <c r="T19">
        <v>35</v>
      </c>
      <c r="U19">
        <v>0</v>
      </c>
      <c r="V19">
        <v>0.11</v>
      </c>
      <c r="W19">
        <v>149</v>
      </c>
      <c r="X19">
        <v>28.95</v>
      </c>
      <c r="Y19">
        <v>6.5</v>
      </c>
      <c r="Z19">
        <v>43.984999999999999</v>
      </c>
    </row>
    <row r="20" spans="1:26" x14ac:dyDescent="0.25">
      <c r="A20" t="str">
        <f t="shared" si="0"/>
        <v>A3</v>
      </c>
      <c r="B20">
        <v>150</v>
      </c>
      <c r="C20" s="54" t="s">
        <v>36</v>
      </c>
      <c r="D20">
        <v>3</v>
      </c>
      <c r="E20" s="55" t="s">
        <v>40</v>
      </c>
      <c r="F20" s="132" t="s">
        <v>382</v>
      </c>
      <c r="G20" s="135">
        <v>725</v>
      </c>
      <c r="H20">
        <v>5.1100000000000003</v>
      </c>
      <c r="I20">
        <v>9.41</v>
      </c>
      <c r="J20">
        <v>90</v>
      </c>
      <c r="K20">
        <v>15</v>
      </c>
      <c r="L20">
        <v>1</v>
      </c>
      <c r="M20">
        <v>1024</v>
      </c>
      <c r="N20">
        <v>1.1000000000000001</v>
      </c>
      <c r="O20">
        <v>61</v>
      </c>
      <c r="P20">
        <v>0</v>
      </c>
      <c r="Q20">
        <v>1.3</v>
      </c>
      <c r="R20">
        <v>25</v>
      </c>
      <c r="S20">
        <v>2.8</v>
      </c>
      <c r="T20">
        <v>28</v>
      </c>
      <c r="U20">
        <v>0</v>
      </c>
      <c r="V20">
        <v>0.1</v>
      </c>
      <c r="W20">
        <v>147.6</v>
      </c>
      <c r="X20">
        <v>23.81</v>
      </c>
      <c r="Y20">
        <v>34</v>
      </c>
      <c r="Z20">
        <v>78.930000000000007</v>
      </c>
    </row>
    <row r="21" spans="1:26" x14ac:dyDescent="0.25">
      <c r="A21" t="str">
        <f t="shared" si="0"/>
        <v>B3</v>
      </c>
      <c r="B21">
        <v>143</v>
      </c>
      <c r="C21" s="54" t="s">
        <v>39</v>
      </c>
      <c r="D21">
        <v>3</v>
      </c>
      <c r="E21" s="54" t="s">
        <v>40</v>
      </c>
      <c r="F21" s="56" t="s">
        <v>382</v>
      </c>
      <c r="G21" s="134">
        <v>794</v>
      </c>
      <c r="H21">
        <v>6.91</v>
      </c>
      <c r="I21">
        <v>7.66</v>
      </c>
      <c r="J21">
        <v>113</v>
      </c>
      <c r="K21">
        <v>16</v>
      </c>
      <c r="L21">
        <v>0</v>
      </c>
      <c r="M21">
        <v>343</v>
      </c>
      <c r="N21">
        <v>1.22</v>
      </c>
      <c r="O21">
        <v>73</v>
      </c>
      <c r="P21">
        <v>0</v>
      </c>
      <c r="Q21">
        <v>2.2000000000000002</v>
      </c>
      <c r="R21">
        <v>25</v>
      </c>
      <c r="S21">
        <v>3.3</v>
      </c>
      <c r="T21">
        <v>42</v>
      </c>
      <c r="U21">
        <v>0</v>
      </c>
      <c r="V21">
        <v>0.1</v>
      </c>
      <c r="W21">
        <v>145.5</v>
      </c>
      <c r="X21">
        <v>27.61</v>
      </c>
      <c r="Y21">
        <v>37.299999999999997</v>
      </c>
      <c r="Z21">
        <v>64.227000000000004</v>
      </c>
    </row>
    <row r="22" spans="1:26" x14ac:dyDescent="0.25">
      <c r="A22" t="str">
        <f t="shared" si="0"/>
        <v>D3</v>
      </c>
      <c r="B22">
        <v>145</v>
      </c>
      <c r="C22" s="54" t="s">
        <v>45</v>
      </c>
      <c r="D22">
        <v>3</v>
      </c>
      <c r="E22" s="54" t="s">
        <v>40</v>
      </c>
      <c r="F22" s="56" t="s">
        <v>383</v>
      </c>
      <c r="G22" s="134">
        <v>949.7</v>
      </c>
      <c r="H22">
        <v>5.14</v>
      </c>
      <c r="I22">
        <v>13.91</v>
      </c>
      <c r="J22">
        <v>101</v>
      </c>
      <c r="K22">
        <v>13</v>
      </c>
      <c r="L22">
        <v>1</v>
      </c>
      <c r="M22">
        <v>260</v>
      </c>
      <c r="N22">
        <v>0.8</v>
      </c>
      <c r="O22">
        <v>81</v>
      </c>
      <c r="P22">
        <v>0</v>
      </c>
      <c r="Q22">
        <v>1.7</v>
      </c>
      <c r="R22">
        <v>19</v>
      </c>
      <c r="S22">
        <v>3.2</v>
      </c>
      <c r="T22">
        <v>39</v>
      </c>
      <c r="U22">
        <v>0</v>
      </c>
      <c r="V22">
        <v>0.09</v>
      </c>
      <c r="W22">
        <v>149.69999999999999</v>
      </c>
      <c r="X22">
        <v>25.41</v>
      </c>
      <c r="Y22">
        <v>41.6</v>
      </c>
      <c r="Z22">
        <v>51.155999999999999</v>
      </c>
    </row>
    <row r="23" spans="1:26" x14ac:dyDescent="0.25">
      <c r="A23" t="str">
        <f t="shared" si="0"/>
        <v>GAMMA3</v>
      </c>
      <c r="B23">
        <v>148</v>
      </c>
      <c r="C23" s="54" t="s">
        <v>585</v>
      </c>
      <c r="D23">
        <v>3</v>
      </c>
      <c r="E23" s="54" t="s">
        <v>40</v>
      </c>
      <c r="F23" s="56" t="s">
        <v>383</v>
      </c>
      <c r="G23" s="134">
        <v>1159</v>
      </c>
      <c r="H23">
        <v>5.45</v>
      </c>
      <c r="I23">
        <v>13.11</v>
      </c>
      <c r="J23">
        <v>68</v>
      </c>
      <c r="K23">
        <v>12</v>
      </c>
      <c r="L23">
        <v>0</v>
      </c>
      <c r="M23">
        <v>284</v>
      </c>
      <c r="N23">
        <v>1.1200000000000001</v>
      </c>
      <c r="O23">
        <v>92</v>
      </c>
      <c r="P23">
        <v>0</v>
      </c>
      <c r="Q23">
        <v>1.8</v>
      </c>
      <c r="R23">
        <v>21</v>
      </c>
      <c r="S23">
        <v>4.4000000000000004</v>
      </c>
      <c r="T23">
        <v>23</v>
      </c>
      <c r="U23">
        <v>0</v>
      </c>
      <c r="V23">
        <v>0.11</v>
      </c>
      <c r="W23">
        <v>145.5</v>
      </c>
      <c r="X23">
        <v>29.29</v>
      </c>
      <c r="Y23">
        <v>42.3</v>
      </c>
      <c r="Z23">
        <v>54.198999999999998</v>
      </c>
    </row>
    <row r="24" spans="1:26" x14ac:dyDescent="0.25">
      <c r="A24" t="str">
        <f t="shared" si="0"/>
        <v>H3</v>
      </c>
      <c r="B24">
        <v>146</v>
      </c>
      <c r="C24" s="54" t="s">
        <v>53</v>
      </c>
      <c r="D24">
        <v>3</v>
      </c>
      <c r="E24" s="54" t="s">
        <v>40</v>
      </c>
      <c r="F24" s="56" t="s">
        <v>382</v>
      </c>
      <c r="G24" s="134">
        <v>1104</v>
      </c>
      <c r="H24">
        <v>6.75</v>
      </c>
      <c r="I24">
        <v>13.8</v>
      </c>
      <c r="J24">
        <v>185</v>
      </c>
      <c r="K24">
        <v>16</v>
      </c>
      <c r="L24">
        <v>0</v>
      </c>
      <c r="M24">
        <v>402</v>
      </c>
      <c r="N24">
        <v>1.07</v>
      </c>
      <c r="O24">
        <v>78</v>
      </c>
      <c r="P24">
        <v>0</v>
      </c>
      <c r="Q24">
        <v>2.2000000000000002</v>
      </c>
      <c r="R24">
        <v>21</v>
      </c>
      <c r="S24">
        <v>3.3</v>
      </c>
      <c r="T24">
        <v>44</v>
      </c>
      <c r="U24">
        <v>0</v>
      </c>
      <c r="V24">
        <v>0.11</v>
      </c>
      <c r="W24">
        <v>151</v>
      </c>
      <c r="X24">
        <v>22.77</v>
      </c>
      <c r="Y24">
        <v>36.9</v>
      </c>
      <c r="Z24">
        <v>50.655000000000001</v>
      </c>
    </row>
    <row r="25" spans="1:26" x14ac:dyDescent="0.25">
      <c r="A25" t="str">
        <f t="shared" si="0"/>
        <v>J3</v>
      </c>
      <c r="B25">
        <v>155</v>
      </c>
      <c r="C25" s="18" t="s">
        <v>80</v>
      </c>
      <c r="D25">
        <v>3</v>
      </c>
      <c r="E25" s="75" t="s">
        <v>40</v>
      </c>
      <c r="F25" s="57" t="s">
        <v>383</v>
      </c>
      <c r="G25" s="60">
        <v>885</v>
      </c>
      <c r="H25">
        <v>4.75</v>
      </c>
      <c r="I25">
        <v>16.350000000000001</v>
      </c>
      <c r="J25">
        <v>92</v>
      </c>
      <c r="K25">
        <v>12</v>
      </c>
      <c r="L25">
        <v>0</v>
      </c>
      <c r="M25">
        <v>146</v>
      </c>
      <c r="N25">
        <v>0.98</v>
      </c>
      <c r="O25">
        <v>130</v>
      </c>
      <c r="P25">
        <v>0</v>
      </c>
      <c r="Q25">
        <v>1.3</v>
      </c>
      <c r="R25">
        <v>18</v>
      </c>
      <c r="S25">
        <v>4.3</v>
      </c>
      <c r="T25">
        <v>32</v>
      </c>
      <c r="U25">
        <v>0</v>
      </c>
      <c r="V25">
        <v>0.08</v>
      </c>
      <c r="W25">
        <v>143.19999999999999</v>
      </c>
      <c r="X25">
        <v>26.49</v>
      </c>
      <c r="Y25">
        <v>57.2</v>
      </c>
      <c r="Z25">
        <v>41.43</v>
      </c>
    </row>
    <row r="26" spans="1:26" x14ac:dyDescent="0.25">
      <c r="A26" t="str">
        <f t="shared" si="0"/>
        <v>K1</v>
      </c>
      <c r="B26">
        <v>110</v>
      </c>
      <c r="C26" s="3" t="s">
        <v>82</v>
      </c>
      <c r="D26">
        <v>1</v>
      </c>
      <c r="E26" s="3" t="s">
        <v>71</v>
      </c>
      <c r="F26" s="28" t="s">
        <v>60</v>
      </c>
      <c r="G26" s="62">
        <v>1206.8</v>
      </c>
      <c r="H26">
        <v>5.94</v>
      </c>
      <c r="I26">
        <v>17.850000000000001</v>
      </c>
      <c r="J26">
        <v>202</v>
      </c>
      <c r="K26">
        <v>9</v>
      </c>
      <c r="L26">
        <v>1</v>
      </c>
      <c r="M26">
        <v>194</v>
      </c>
      <c r="N26">
        <v>1.31</v>
      </c>
      <c r="O26">
        <v>67</v>
      </c>
      <c r="P26">
        <v>0</v>
      </c>
      <c r="Q26">
        <v>1.4</v>
      </c>
      <c r="R26">
        <v>19</v>
      </c>
      <c r="S26">
        <v>4.5999999999999996</v>
      </c>
      <c r="T26">
        <v>28</v>
      </c>
      <c r="U26">
        <v>0</v>
      </c>
      <c r="V26">
        <v>0.12</v>
      </c>
      <c r="W26">
        <v>143.19999999999999</v>
      </c>
      <c r="X26">
        <v>17.5</v>
      </c>
      <c r="Y26">
        <v>5</v>
      </c>
      <c r="Z26">
        <v>63.427999999999997</v>
      </c>
    </row>
    <row r="27" spans="1:26" x14ac:dyDescent="0.25">
      <c r="A27" t="str">
        <f t="shared" si="0"/>
        <v>S1</v>
      </c>
      <c r="B27">
        <v>112</v>
      </c>
      <c r="C27" s="3" t="s">
        <v>70</v>
      </c>
      <c r="D27">
        <v>1</v>
      </c>
      <c r="E27" s="3" t="s">
        <v>71</v>
      </c>
      <c r="F27" s="28" t="s">
        <v>49</v>
      </c>
      <c r="G27" s="62">
        <v>1004</v>
      </c>
      <c r="H27">
        <v>7.42</v>
      </c>
      <c r="I27">
        <v>21.47</v>
      </c>
      <c r="J27">
        <v>66</v>
      </c>
      <c r="K27">
        <v>15</v>
      </c>
      <c r="L27">
        <v>4</v>
      </c>
      <c r="M27">
        <v>255</v>
      </c>
      <c r="N27">
        <v>1.73</v>
      </c>
      <c r="O27">
        <v>60</v>
      </c>
      <c r="P27">
        <v>0</v>
      </c>
      <c r="Q27">
        <v>1.3</v>
      </c>
      <c r="R27">
        <v>22</v>
      </c>
      <c r="S27">
        <v>3</v>
      </c>
      <c r="T27">
        <v>32</v>
      </c>
      <c r="U27">
        <v>0</v>
      </c>
      <c r="V27">
        <v>0.08</v>
      </c>
      <c r="W27">
        <v>152.69999999999999</v>
      </c>
      <c r="X27">
        <v>26.86</v>
      </c>
      <c r="Y27">
        <v>3.9</v>
      </c>
      <c r="Z27">
        <v>60.515999999999998</v>
      </c>
    </row>
    <row r="28" spans="1:26" x14ac:dyDescent="0.25">
      <c r="A28" t="str">
        <f t="shared" si="0"/>
        <v>L2</v>
      </c>
      <c r="B28">
        <v>131</v>
      </c>
      <c r="C28" s="3" t="s">
        <v>58</v>
      </c>
      <c r="D28">
        <v>2</v>
      </c>
      <c r="E28" s="3" t="s">
        <v>71</v>
      </c>
      <c r="F28" s="28" t="s">
        <v>383</v>
      </c>
      <c r="G28" s="19">
        <v>1202.8</v>
      </c>
      <c r="H28">
        <v>6.63</v>
      </c>
      <c r="I28">
        <v>20.14</v>
      </c>
      <c r="J28">
        <v>81</v>
      </c>
      <c r="K28">
        <v>14</v>
      </c>
      <c r="L28">
        <v>3</v>
      </c>
      <c r="M28">
        <v>393</v>
      </c>
      <c r="N28">
        <v>2.1800000000000002</v>
      </c>
      <c r="O28">
        <v>65</v>
      </c>
      <c r="P28">
        <v>0</v>
      </c>
      <c r="Q28">
        <v>1.3</v>
      </c>
      <c r="R28">
        <v>36</v>
      </c>
      <c r="S28">
        <v>3.7</v>
      </c>
      <c r="T28">
        <v>52</v>
      </c>
      <c r="U28">
        <v>0</v>
      </c>
      <c r="V28">
        <v>0.09</v>
      </c>
      <c r="W28">
        <v>149.69999999999999</v>
      </c>
      <c r="X28">
        <v>25.7</v>
      </c>
      <c r="Y28">
        <v>4.7</v>
      </c>
      <c r="Z28">
        <v>56.606999999999999</v>
      </c>
    </row>
    <row r="29" spans="1:26" x14ac:dyDescent="0.25">
      <c r="A29" t="str">
        <f t="shared" si="0"/>
        <v>O2</v>
      </c>
      <c r="B29">
        <v>134</v>
      </c>
      <c r="C29" s="3" t="s">
        <v>64</v>
      </c>
      <c r="D29">
        <v>2</v>
      </c>
      <c r="E29" s="3" t="s">
        <v>71</v>
      </c>
      <c r="F29" s="28" t="s">
        <v>383</v>
      </c>
      <c r="G29" s="19">
        <v>1031</v>
      </c>
      <c r="H29">
        <v>6.11</v>
      </c>
      <c r="I29">
        <v>17.87</v>
      </c>
      <c r="J29">
        <v>55</v>
      </c>
      <c r="K29">
        <v>12</v>
      </c>
      <c r="L29">
        <v>2</v>
      </c>
      <c r="M29">
        <v>300</v>
      </c>
      <c r="N29">
        <v>1.54</v>
      </c>
      <c r="O29">
        <v>66</v>
      </c>
      <c r="P29">
        <v>0</v>
      </c>
      <c r="Q29">
        <v>1.2</v>
      </c>
      <c r="R29">
        <v>35</v>
      </c>
      <c r="S29">
        <v>5</v>
      </c>
      <c r="T29">
        <v>33</v>
      </c>
      <c r="U29">
        <v>0</v>
      </c>
      <c r="V29">
        <v>0.09</v>
      </c>
      <c r="W29">
        <v>146.19999999999999</v>
      </c>
      <c r="X29">
        <v>23.74</v>
      </c>
      <c r="Y29">
        <v>3.9</v>
      </c>
      <c r="Z29">
        <v>60.906999999999996</v>
      </c>
    </row>
    <row r="30" spans="1:26" x14ac:dyDescent="0.25">
      <c r="A30" t="str">
        <f t="shared" si="0"/>
        <v>Ø2</v>
      </c>
      <c r="B30">
        <v>137</v>
      </c>
      <c r="C30" s="3" t="s">
        <v>175</v>
      </c>
      <c r="D30">
        <v>2</v>
      </c>
      <c r="E30" s="3" t="s">
        <v>71</v>
      </c>
      <c r="F30" s="28" t="s">
        <v>382</v>
      </c>
      <c r="G30" s="19">
        <v>1275</v>
      </c>
      <c r="H30">
        <v>6.62</v>
      </c>
      <c r="I30">
        <v>18.57</v>
      </c>
      <c r="J30">
        <v>33</v>
      </c>
      <c r="K30">
        <v>18</v>
      </c>
      <c r="L30">
        <v>8</v>
      </c>
      <c r="M30">
        <v>536</v>
      </c>
      <c r="N30">
        <v>1.58</v>
      </c>
      <c r="O30">
        <v>62</v>
      </c>
      <c r="P30">
        <v>0</v>
      </c>
      <c r="Q30">
        <v>1</v>
      </c>
      <c r="R30">
        <v>24</v>
      </c>
      <c r="S30">
        <v>4.5</v>
      </c>
      <c r="T30">
        <v>32</v>
      </c>
      <c r="U30">
        <v>0</v>
      </c>
      <c r="V30">
        <v>0.06</v>
      </c>
      <c r="W30">
        <v>151.69999999999999</v>
      </c>
      <c r="X30">
        <v>25.15</v>
      </c>
      <c r="Y30">
        <v>4.4000000000000004</v>
      </c>
      <c r="Z30">
        <v>44.747999999999998</v>
      </c>
    </row>
    <row r="31" spans="1:26" x14ac:dyDescent="0.25">
      <c r="A31" t="str">
        <f t="shared" si="0"/>
        <v>G3</v>
      </c>
      <c r="B31">
        <v>164</v>
      </c>
      <c r="C31" s="128" t="s">
        <v>51</v>
      </c>
      <c r="D31">
        <v>3</v>
      </c>
      <c r="E31" s="75" t="s">
        <v>71</v>
      </c>
      <c r="F31" s="58" t="s">
        <v>382</v>
      </c>
      <c r="G31" s="61">
        <v>993</v>
      </c>
      <c r="H31">
        <v>7.61</v>
      </c>
      <c r="I31">
        <v>21.39</v>
      </c>
      <c r="J31">
        <v>106</v>
      </c>
      <c r="K31">
        <v>16</v>
      </c>
      <c r="L31">
        <v>1</v>
      </c>
      <c r="M31">
        <v>344</v>
      </c>
      <c r="N31">
        <v>1.66</v>
      </c>
      <c r="O31">
        <v>70</v>
      </c>
      <c r="P31">
        <v>0</v>
      </c>
      <c r="Q31">
        <v>1.4</v>
      </c>
      <c r="R31">
        <v>22</v>
      </c>
      <c r="S31">
        <v>3.9</v>
      </c>
      <c r="T31">
        <v>30</v>
      </c>
      <c r="U31">
        <v>0</v>
      </c>
      <c r="V31">
        <v>0.08</v>
      </c>
      <c r="W31">
        <v>145.5</v>
      </c>
      <c r="X31">
        <v>23.57</v>
      </c>
      <c r="Y31">
        <v>3.4</v>
      </c>
      <c r="Z31">
        <v>73.483999999999995</v>
      </c>
    </row>
    <row r="32" spans="1:26" x14ac:dyDescent="0.25">
      <c r="A32" t="str">
        <f t="shared" si="0"/>
        <v>P3</v>
      </c>
      <c r="B32">
        <v>999</v>
      </c>
      <c r="C32" s="54" t="s">
        <v>66</v>
      </c>
      <c r="D32">
        <v>3</v>
      </c>
      <c r="E32" s="54" t="s">
        <v>71</v>
      </c>
      <c r="F32" s="56" t="s">
        <v>383</v>
      </c>
      <c r="G32" s="134">
        <v>1279</v>
      </c>
    </row>
    <row r="33" spans="1:26" x14ac:dyDescent="0.25">
      <c r="A33" t="str">
        <f t="shared" si="0"/>
        <v>R3</v>
      </c>
      <c r="B33">
        <v>160</v>
      </c>
      <c r="C33" s="128" t="s">
        <v>68</v>
      </c>
      <c r="D33">
        <v>3</v>
      </c>
      <c r="E33" s="75" t="s">
        <v>71</v>
      </c>
      <c r="F33" s="58" t="s">
        <v>383</v>
      </c>
      <c r="G33" s="61">
        <v>637</v>
      </c>
      <c r="H33">
        <v>7.19</v>
      </c>
      <c r="I33">
        <v>21.15</v>
      </c>
      <c r="J33">
        <v>98</v>
      </c>
      <c r="K33">
        <v>14</v>
      </c>
      <c r="L33">
        <v>1</v>
      </c>
      <c r="M33">
        <v>226</v>
      </c>
      <c r="N33">
        <v>1.81</v>
      </c>
      <c r="O33">
        <v>68</v>
      </c>
      <c r="P33">
        <v>0</v>
      </c>
      <c r="Q33">
        <v>1.4</v>
      </c>
      <c r="R33">
        <v>27</v>
      </c>
      <c r="S33">
        <v>4.5999999999999996</v>
      </c>
      <c r="T33">
        <v>25</v>
      </c>
      <c r="U33">
        <v>0</v>
      </c>
      <c r="V33">
        <v>0.05</v>
      </c>
      <c r="W33">
        <v>146.30000000000001</v>
      </c>
      <c r="X33">
        <v>32.299999999999997</v>
      </c>
      <c r="Y33">
        <v>3.4</v>
      </c>
      <c r="Z33">
        <v>44.92</v>
      </c>
    </row>
    <row r="34" spans="1:26" x14ac:dyDescent="0.25">
      <c r="A34" t="str">
        <f t="shared" ref="A34:A65" si="1">C34&amp;D34</f>
        <v>X3</v>
      </c>
      <c r="B34">
        <v>162</v>
      </c>
      <c r="C34" s="128" t="s">
        <v>390</v>
      </c>
      <c r="D34">
        <v>3</v>
      </c>
      <c r="E34" s="75" t="s">
        <v>71</v>
      </c>
      <c r="F34" s="58" t="s">
        <v>382</v>
      </c>
      <c r="G34" s="61">
        <v>828</v>
      </c>
      <c r="H34">
        <v>7.32</v>
      </c>
      <c r="I34">
        <v>20.36</v>
      </c>
      <c r="J34">
        <v>89</v>
      </c>
      <c r="K34">
        <v>38</v>
      </c>
      <c r="L34">
        <v>1</v>
      </c>
      <c r="M34">
        <v>3583</v>
      </c>
      <c r="N34">
        <v>1.53</v>
      </c>
      <c r="O34">
        <v>96</v>
      </c>
      <c r="P34">
        <v>0</v>
      </c>
      <c r="Q34">
        <v>1.5</v>
      </c>
      <c r="R34">
        <v>60</v>
      </c>
      <c r="S34">
        <v>6.8</v>
      </c>
      <c r="T34">
        <v>28</v>
      </c>
      <c r="U34">
        <v>0</v>
      </c>
      <c r="V34">
        <v>0.13</v>
      </c>
      <c r="W34">
        <v>144.9</v>
      </c>
      <c r="X34">
        <v>20.75</v>
      </c>
      <c r="Y34">
        <v>5.2</v>
      </c>
      <c r="Z34">
        <v>50.192</v>
      </c>
    </row>
    <row r="35" spans="1:26" x14ac:dyDescent="0.25">
      <c r="A35" s="50" t="str">
        <f t="shared" si="1"/>
        <v>A1</v>
      </c>
      <c r="B35" s="50">
        <v>999</v>
      </c>
      <c r="C35" s="54" t="s">
        <v>36</v>
      </c>
      <c r="D35" s="50">
        <v>1</v>
      </c>
      <c r="E35" s="54" t="s">
        <v>142</v>
      </c>
      <c r="F35" s="131" t="s">
        <v>60</v>
      </c>
      <c r="G35" s="134">
        <v>803</v>
      </c>
    </row>
    <row r="36" spans="1:26" x14ac:dyDescent="0.25">
      <c r="A36" t="str">
        <f t="shared" si="1"/>
        <v>J1</v>
      </c>
      <c r="B36">
        <v>100</v>
      </c>
      <c r="C36" s="15" t="s">
        <v>80</v>
      </c>
      <c r="D36">
        <v>1</v>
      </c>
      <c r="E36" s="15" t="s">
        <v>142</v>
      </c>
      <c r="F36" s="29" t="s">
        <v>60</v>
      </c>
      <c r="G36" s="59">
        <v>1324.5</v>
      </c>
      <c r="H36">
        <v>6.22</v>
      </c>
      <c r="I36">
        <v>0.81</v>
      </c>
      <c r="J36">
        <v>638</v>
      </c>
      <c r="K36">
        <v>0</v>
      </c>
      <c r="L36">
        <v>0</v>
      </c>
      <c r="M36">
        <v>890</v>
      </c>
      <c r="N36">
        <v>1.08</v>
      </c>
      <c r="O36">
        <v>97</v>
      </c>
      <c r="P36">
        <v>0</v>
      </c>
      <c r="Q36">
        <v>2.1</v>
      </c>
      <c r="R36" t="s">
        <v>1551</v>
      </c>
      <c r="S36">
        <v>3.9</v>
      </c>
      <c r="T36">
        <v>43</v>
      </c>
      <c r="U36">
        <v>0</v>
      </c>
      <c r="V36">
        <v>0.18</v>
      </c>
      <c r="W36">
        <v>143.1</v>
      </c>
      <c r="X36">
        <v>24.97</v>
      </c>
      <c r="Y36">
        <v>1.7</v>
      </c>
      <c r="Z36">
        <v>51.24</v>
      </c>
    </row>
    <row r="37" spans="1:26" x14ac:dyDescent="0.25">
      <c r="A37" t="str">
        <f t="shared" si="1"/>
        <v>M1</v>
      </c>
      <c r="B37">
        <v>114</v>
      </c>
      <c r="C37" s="15" t="s">
        <v>60</v>
      </c>
      <c r="D37">
        <v>1</v>
      </c>
      <c r="E37" s="15" t="s">
        <v>142</v>
      </c>
      <c r="F37" s="29" t="s">
        <v>49</v>
      </c>
      <c r="G37" s="59">
        <v>1191</v>
      </c>
      <c r="H37">
        <v>8.1300000000000008</v>
      </c>
      <c r="I37">
        <v>21.43</v>
      </c>
      <c r="J37">
        <v>98</v>
      </c>
      <c r="K37">
        <v>8</v>
      </c>
      <c r="L37">
        <v>1</v>
      </c>
      <c r="M37">
        <v>137</v>
      </c>
      <c r="N37">
        <v>1.07</v>
      </c>
      <c r="O37">
        <v>73</v>
      </c>
      <c r="P37">
        <v>0</v>
      </c>
      <c r="Q37">
        <v>1.4</v>
      </c>
      <c r="R37">
        <v>25</v>
      </c>
      <c r="S37">
        <v>5.5</v>
      </c>
      <c r="T37">
        <v>20</v>
      </c>
      <c r="U37">
        <v>0</v>
      </c>
      <c r="V37">
        <v>0.08</v>
      </c>
      <c r="W37">
        <v>147.4</v>
      </c>
      <c r="X37">
        <v>28.11</v>
      </c>
      <c r="Y37">
        <v>3.2</v>
      </c>
      <c r="Z37">
        <v>57.350999999999999</v>
      </c>
    </row>
    <row r="38" spans="1:26" x14ac:dyDescent="0.25">
      <c r="A38" s="50" t="str">
        <f t="shared" si="1"/>
        <v>P1</v>
      </c>
      <c r="B38" s="50"/>
      <c r="C38" s="54" t="s">
        <v>66</v>
      </c>
      <c r="D38" s="50">
        <v>1</v>
      </c>
      <c r="E38" s="54" t="s">
        <v>142</v>
      </c>
      <c r="F38" s="131" t="s">
        <v>60</v>
      </c>
      <c r="G38" s="134">
        <v>981</v>
      </c>
    </row>
    <row r="39" spans="1:26" x14ac:dyDescent="0.25">
      <c r="A39" t="str">
        <f t="shared" si="1"/>
        <v>R1</v>
      </c>
      <c r="B39">
        <v>104</v>
      </c>
      <c r="C39" s="15" t="s">
        <v>68</v>
      </c>
      <c r="D39">
        <v>1</v>
      </c>
      <c r="E39" s="15" t="s">
        <v>142</v>
      </c>
      <c r="F39" s="29" t="s">
        <v>49</v>
      </c>
      <c r="G39" s="59">
        <v>988.2</v>
      </c>
      <c r="H39">
        <v>5.13</v>
      </c>
      <c r="I39">
        <v>7.34</v>
      </c>
      <c r="J39">
        <v>838</v>
      </c>
      <c r="K39">
        <v>11</v>
      </c>
      <c r="L39">
        <v>1</v>
      </c>
      <c r="M39">
        <v>528</v>
      </c>
      <c r="N39">
        <v>1.01</v>
      </c>
      <c r="O39">
        <v>112</v>
      </c>
      <c r="P39">
        <v>0</v>
      </c>
      <c r="Q39">
        <v>2</v>
      </c>
      <c r="R39">
        <v>29</v>
      </c>
      <c r="S39">
        <v>5.3</v>
      </c>
      <c r="T39">
        <v>22</v>
      </c>
      <c r="U39">
        <v>0</v>
      </c>
      <c r="V39">
        <v>0.23</v>
      </c>
      <c r="W39">
        <v>139.4</v>
      </c>
      <c r="X39">
        <v>21.76</v>
      </c>
      <c r="Y39">
        <v>0</v>
      </c>
      <c r="Z39">
        <v>60.026000000000003</v>
      </c>
    </row>
    <row r="40" spans="1:26" x14ac:dyDescent="0.25">
      <c r="A40" t="str">
        <f t="shared" si="1"/>
        <v>A2</v>
      </c>
      <c r="B40">
        <v>117</v>
      </c>
      <c r="C40" s="15" t="s">
        <v>36</v>
      </c>
      <c r="D40">
        <v>2</v>
      </c>
      <c r="E40" s="15" t="s">
        <v>142</v>
      </c>
      <c r="F40" s="29" t="s">
        <v>383</v>
      </c>
      <c r="G40" s="20">
        <v>1210</v>
      </c>
      <c r="H40">
        <v>6.8</v>
      </c>
      <c r="I40">
        <v>6.95</v>
      </c>
      <c r="J40">
        <v>46</v>
      </c>
      <c r="K40">
        <v>10</v>
      </c>
      <c r="L40">
        <v>0</v>
      </c>
      <c r="M40">
        <v>206</v>
      </c>
      <c r="N40">
        <v>1.2</v>
      </c>
      <c r="O40">
        <v>67</v>
      </c>
      <c r="P40">
        <v>0</v>
      </c>
      <c r="Q40">
        <v>1.8</v>
      </c>
      <c r="R40">
        <v>18</v>
      </c>
      <c r="S40">
        <v>3.5</v>
      </c>
      <c r="T40">
        <v>35</v>
      </c>
      <c r="U40">
        <v>0</v>
      </c>
      <c r="V40">
        <v>0.06</v>
      </c>
      <c r="W40">
        <v>156.6</v>
      </c>
      <c r="X40">
        <v>23.32</v>
      </c>
      <c r="Y40">
        <v>2.7</v>
      </c>
      <c r="Z40">
        <v>59.222999999999999</v>
      </c>
    </row>
    <row r="41" spans="1:26" x14ac:dyDescent="0.25">
      <c r="A41" t="str">
        <f t="shared" si="1"/>
        <v>B2</v>
      </c>
      <c r="B41">
        <v>123</v>
      </c>
      <c r="C41" s="15" t="s">
        <v>39</v>
      </c>
      <c r="D41">
        <v>2</v>
      </c>
      <c r="E41" s="15" t="s">
        <v>142</v>
      </c>
      <c r="F41" s="29" t="s">
        <v>382</v>
      </c>
      <c r="G41" s="20">
        <v>1015</v>
      </c>
      <c r="H41">
        <v>7.11</v>
      </c>
      <c r="I41">
        <v>15.8</v>
      </c>
      <c r="J41">
        <v>214</v>
      </c>
      <c r="K41">
        <v>14</v>
      </c>
      <c r="L41">
        <v>1</v>
      </c>
      <c r="M41">
        <v>269</v>
      </c>
      <c r="N41">
        <v>1.51</v>
      </c>
      <c r="O41">
        <v>87</v>
      </c>
      <c r="P41">
        <v>0</v>
      </c>
      <c r="Q41">
        <v>2</v>
      </c>
      <c r="R41">
        <v>21</v>
      </c>
      <c r="S41">
        <v>4.4000000000000004</v>
      </c>
      <c r="T41">
        <v>35</v>
      </c>
      <c r="U41">
        <v>0</v>
      </c>
      <c r="V41">
        <v>0.24</v>
      </c>
      <c r="W41">
        <v>157.5</v>
      </c>
      <c r="X41">
        <v>18.329999999999998</v>
      </c>
      <c r="Y41">
        <v>0.8</v>
      </c>
      <c r="Z41">
        <v>59.539000000000001</v>
      </c>
    </row>
    <row r="42" spans="1:26" x14ac:dyDescent="0.25">
      <c r="A42" t="str">
        <f t="shared" si="1"/>
        <v>C2</v>
      </c>
      <c r="B42">
        <v>126</v>
      </c>
      <c r="C42" s="15" t="s">
        <v>43</v>
      </c>
      <c r="D42">
        <v>2</v>
      </c>
      <c r="E42" s="15" t="s">
        <v>142</v>
      </c>
      <c r="F42" s="29" t="s">
        <v>382</v>
      </c>
      <c r="G42" s="20">
        <v>1210</v>
      </c>
      <c r="H42">
        <v>7.29</v>
      </c>
      <c r="I42">
        <v>19.38</v>
      </c>
      <c r="J42">
        <v>71</v>
      </c>
      <c r="K42">
        <v>18</v>
      </c>
      <c r="L42">
        <v>7</v>
      </c>
      <c r="M42">
        <v>415</v>
      </c>
      <c r="N42">
        <v>1.78</v>
      </c>
      <c r="O42">
        <v>60</v>
      </c>
      <c r="P42">
        <v>0</v>
      </c>
      <c r="Q42">
        <v>1.9</v>
      </c>
      <c r="R42">
        <v>31</v>
      </c>
      <c r="S42">
        <v>2.9</v>
      </c>
      <c r="T42">
        <v>55</v>
      </c>
      <c r="U42">
        <v>0</v>
      </c>
      <c r="V42">
        <v>7.0000000000000007E-2</v>
      </c>
      <c r="W42">
        <v>143.30000000000001</v>
      </c>
      <c r="X42">
        <v>33.67</v>
      </c>
      <c r="Y42">
        <v>4.4000000000000004</v>
      </c>
      <c r="Z42">
        <v>49.704000000000001</v>
      </c>
    </row>
    <row r="43" spans="1:26" x14ac:dyDescent="0.25">
      <c r="A43" t="str">
        <f t="shared" si="1"/>
        <v>J2</v>
      </c>
      <c r="B43">
        <v>128</v>
      </c>
      <c r="C43" s="15" t="s">
        <v>80</v>
      </c>
      <c r="D43">
        <v>2</v>
      </c>
      <c r="E43" s="15" t="s">
        <v>142</v>
      </c>
      <c r="F43" s="29" t="s">
        <v>382</v>
      </c>
      <c r="G43" s="20">
        <v>678</v>
      </c>
      <c r="H43">
        <v>6.7</v>
      </c>
      <c r="I43">
        <v>20.239999999999998</v>
      </c>
      <c r="J43">
        <v>101</v>
      </c>
      <c r="K43">
        <v>13</v>
      </c>
      <c r="L43">
        <v>1</v>
      </c>
      <c r="M43">
        <v>187</v>
      </c>
      <c r="N43">
        <v>1.1499999999999999</v>
      </c>
      <c r="O43">
        <v>55</v>
      </c>
      <c r="P43">
        <v>0</v>
      </c>
      <c r="Q43">
        <v>1.1000000000000001</v>
      </c>
      <c r="R43">
        <v>13</v>
      </c>
      <c r="S43">
        <v>3.5</v>
      </c>
      <c r="T43">
        <v>34</v>
      </c>
      <c r="U43">
        <v>0</v>
      </c>
      <c r="V43">
        <v>0.09</v>
      </c>
      <c r="W43">
        <v>151.69999999999999</v>
      </c>
      <c r="X43">
        <v>27.5</v>
      </c>
      <c r="Y43">
        <v>2.2999999999999998</v>
      </c>
      <c r="Z43">
        <v>69.147000000000006</v>
      </c>
    </row>
    <row r="44" spans="1:26" x14ac:dyDescent="0.25">
      <c r="A44" t="str">
        <f t="shared" si="1"/>
        <v>M2</v>
      </c>
      <c r="B44">
        <v>140</v>
      </c>
      <c r="C44" s="15" t="s">
        <v>60</v>
      </c>
      <c r="D44">
        <v>2</v>
      </c>
      <c r="E44" s="15" t="s">
        <v>142</v>
      </c>
      <c r="F44" s="29" t="s">
        <v>383</v>
      </c>
      <c r="G44" s="20">
        <v>1261</v>
      </c>
      <c r="H44">
        <v>7.29</v>
      </c>
      <c r="I44">
        <v>19.59</v>
      </c>
      <c r="J44">
        <v>35</v>
      </c>
      <c r="K44">
        <v>10</v>
      </c>
      <c r="L44">
        <v>1</v>
      </c>
      <c r="M44">
        <v>90</v>
      </c>
      <c r="N44">
        <v>1.9</v>
      </c>
      <c r="O44">
        <v>65</v>
      </c>
      <c r="P44">
        <v>0</v>
      </c>
      <c r="Q44">
        <v>1.6</v>
      </c>
      <c r="R44">
        <v>11</v>
      </c>
      <c r="S44">
        <v>5.2</v>
      </c>
      <c r="T44">
        <v>27</v>
      </c>
      <c r="U44">
        <v>0</v>
      </c>
      <c r="V44">
        <v>0.09</v>
      </c>
      <c r="W44">
        <v>149.19999999999999</v>
      </c>
      <c r="X44">
        <v>26.73</v>
      </c>
      <c r="Y44">
        <v>4.0999999999999996</v>
      </c>
      <c r="Z44">
        <v>67.825999999999993</v>
      </c>
    </row>
    <row r="45" spans="1:26" x14ac:dyDescent="0.25">
      <c r="A45" t="str">
        <f t="shared" si="1"/>
        <v>P2</v>
      </c>
      <c r="B45">
        <v>129</v>
      </c>
      <c r="C45" s="15" t="s">
        <v>66</v>
      </c>
      <c r="D45">
        <v>2</v>
      </c>
      <c r="E45" s="15" t="s">
        <v>142</v>
      </c>
      <c r="F45" s="29" t="s">
        <v>382</v>
      </c>
      <c r="G45" s="20">
        <v>1098.7</v>
      </c>
      <c r="H45">
        <v>7.11</v>
      </c>
      <c r="I45">
        <v>17.68</v>
      </c>
      <c r="J45">
        <v>14</v>
      </c>
      <c r="K45">
        <v>17</v>
      </c>
      <c r="L45">
        <v>1</v>
      </c>
      <c r="M45">
        <v>235</v>
      </c>
      <c r="N45">
        <v>1.54</v>
      </c>
      <c r="O45">
        <v>55</v>
      </c>
      <c r="P45">
        <v>0</v>
      </c>
      <c r="Q45">
        <v>1.8</v>
      </c>
      <c r="R45">
        <v>44</v>
      </c>
      <c r="S45">
        <v>3.4</v>
      </c>
      <c r="T45">
        <v>48</v>
      </c>
      <c r="U45">
        <v>0</v>
      </c>
      <c r="V45">
        <v>0.08</v>
      </c>
      <c r="W45">
        <v>141.1</v>
      </c>
      <c r="X45">
        <v>64.52</v>
      </c>
      <c r="Y45">
        <v>8.3000000000000007</v>
      </c>
      <c r="Z45">
        <v>81.311999999999998</v>
      </c>
    </row>
    <row r="46" spans="1:26" x14ac:dyDescent="0.25">
      <c r="A46" t="str">
        <f t="shared" si="1"/>
        <v>S2</v>
      </c>
      <c r="B46">
        <v>125</v>
      </c>
      <c r="C46" s="15" t="s">
        <v>70</v>
      </c>
      <c r="D46">
        <v>2</v>
      </c>
      <c r="E46" s="15" t="s">
        <v>142</v>
      </c>
      <c r="F46" s="29" t="s">
        <v>383</v>
      </c>
      <c r="G46" s="20">
        <v>1327</v>
      </c>
      <c r="H46">
        <v>6.95</v>
      </c>
      <c r="I46">
        <v>18.43</v>
      </c>
      <c r="J46">
        <v>126</v>
      </c>
      <c r="K46">
        <v>10</v>
      </c>
      <c r="L46">
        <v>1</v>
      </c>
      <c r="M46">
        <v>290</v>
      </c>
      <c r="N46">
        <v>1.34</v>
      </c>
      <c r="O46">
        <v>84</v>
      </c>
      <c r="P46">
        <v>0</v>
      </c>
      <c r="Q46">
        <v>1.6</v>
      </c>
      <c r="R46">
        <v>57</v>
      </c>
      <c r="S46">
        <v>6</v>
      </c>
      <c r="T46">
        <v>32</v>
      </c>
      <c r="U46">
        <v>0</v>
      </c>
      <c r="V46">
        <v>0.12</v>
      </c>
      <c r="W46">
        <v>147.6</v>
      </c>
      <c r="X46">
        <v>24.27</v>
      </c>
      <c r="Y46">
        <v>3</v>
      </c>
      <c r="Z46">
        <v>43.273000000000003</v>
      </c>
    </row>
    <row r="47" spans="1:26" x14ac:dyDescent="0.25">
      <c r="A47" t="str">
        <f t="shared" si="1"/>
        <v>Z2</v>
      </c>
      <c r="B47">
        <v>116</v>
      </c>
      <c r="C47" s="15" t="s">
        <v>387</v>
      </c>
      <c r="D47">
        <v>2</v>
      </c>
      <c r="E47" s="15" t="s">
        <v>142</v>
      </c>
      <c r="F47" s="29" t="s">
        <v>382</v>
      </c>
      <c r="G47" s="20">
        <v>1270</v>
      </c>
      <c r="H47">
        <v>6.56</v>
      </c>
      <c r="I47">
        <v>9.34</v>
      </c>
      <c r="J47">
        <v>57</v>
      </c>
      <c r="K47">
        <v>16</v>
      </c>
      <c r="L47">
        <v>0</v>
      </c>
      <c r="M47">
        <v>1102</v>
      </c>
      <c r="N47">
        <v>1.6</v>
      </c>
      <c r="O47">
        <v>74</v>
      </c>
      <c r="P47">
        <v>0</v>
      </c>
      <c r="Q47">
        <v>1.7</v>
      </c>
      <c r="R47">
        <v>65</v>
      </c>
      <c r="S47">
        <v>3.5</v>
      </c>
      <c r="T47">
        <v>39</v>
      </c>
      <c r="U47">
        <v>0</v>
      </c>
      <c r="V47">
        <v>7.0000000000000007E-2</v>
      </c>
      <c r="W47">
        <v>149.1</v>
      </c>
      <c r="X47">
        <v>28.7</v>
      </c>
      <c r="Y47">
        <v>2.4</v>
      </c>
      <c r="Z47">
        <v>71.13</v>
      </c>
    </row>
    <row r="48" spans="1:26" x14ac:dyDescent="0.25">
      <c r="A48" t="str">
        <f t="shared" si="1"/>
        <v>Æ2</v>
      </c>
      <c r="B48">
        <v>120</v>
      </c>
      <c r="C48" s="24" t="s">
        <v>202</v>
      </c>
      <c r="D48">
        <v>2</v>
      </c>
      <c r="E48" s="24" t="s">
        <v>142</v>
      </c>
      <c r="F48" s="30" t="s">
        <v>383</v>
      </c>
      <c r="G48" s="24">
        <v>1180.8</v>
      </c>
      <c r="H48">
        <v>7.42</v>
      </c>
      <c r="I48">
        <v>9.51</v>
      </c>
      <c r="J48">
        <v>41</v>
      </c>
      <c r="K48">
        <v>15</v>
      </c>
      <c r="L48">
        <v>0</v>
      </c>
      <c r="M48">
        <v>294</v>
      </c>
      <c r="N48">
        <v>1.36</v>
      </c>
      <c r="O48">
        <v>106</v>
      </c>
      <c r="P48">
        <v>0</v>
      </c>
      <c r="Q48">
        <v>1.1000000000000001</v>
      </c>
      <c r="R48">
        <v>42</v>
      </c>
      <c r="S48">
        <v>4.8</v>
      </c>
      <c r="T48">
        <v>38</v>
      </c>
      <c r="U48">
        <v>0</v>
      </c>
      <c r="V48">
        <v>0.09</v>
      </c>
      <c r="W48">
        <v>152.4</v>
      </c>
      <c r="X48">
        <v>24.33</v>
      </c>
      <c r="Y48">
        <v>3.5</v>
      </c>
      <c r="Z48">
        <v>58.947000000000003</v>
      </c>
    </row>
    <row r="49" spans="1:26" x14ac:dyDescent="0.25">
      <c r="A49" t="str">
        <f t="shared" si="1"/>
        <v>ALPHA3</v>
      </c>
      <c r="B49">
        <v>149</v>
      </c>
      <c r="C49" s="49" t="s">
        <v>586</v>
      </c>
      <c r="D49">
        <v>3</v>
      </c>
      <c r="E49" s="49" t="s">
        <v>142</v>
      </c>
      <c r="F49" s="50" t="s">
        <v>383</v>
      </c>
      <c r="G49" s="50">
        <v>847</v>
      </c>
      <c r="H49">
        <v>7.76</v>
      </c>
      <c r="I49">
        <v>5.24</v>
      </c>
      <c r="J49">
        <v>71</v>
      </c>
      <c r="K49">
        <v>18</v>
      </c>
      <c r="L49">
        <v>0</v>
      </c>
      <c r="M49">
        <v>424</v>
      </c>
      <c r="N49">
        <v>1.1399999999999999</v>
      </c>
      <c r="O49">
        <v>74</v>
      </c>
      <c r="P49">
        <v>0</v>
      </c>
      <c r="Q49">
        <v>1.7</v>
      </c>
      <c r="R49" t="s">
        <v>1551</v>
      </c>
      <c r="S49">
        <v>3.5</v>
      </c>
      <c r="T49">
        <v>40</v>
      </c>
      <c r="U49">
        <v>0</v>
      </c>
      <c r="V49">
        <v>0.11</v>
      </c>
      <c r="W49">
        <v>148.69999999999999</v>
      </c>
      <c r="X49">
        <v>27.3</v>
      </c>
      <c r="Y49">
        <v>1.7</v>
      </c>
      <c r="Z49">
        <v>58.222000000000001</v>
      </c>
    </row>
    <row r="50" spans="1:26" x14ac:dyDescent="0.25">
      <c r="A50" t="str">
        <f t="shared" si="1"/>
        <v>BETA3</v>
      </c>
      <c r="B50">
        <v>153</v>
      </c>
      <c r="C50" s="24" t="s">
        <v>584</v>
      </c>
      <c r="D50">
        <v>3</v>
      </c>
      <c r="E50" s="48" t="s">
        <v>142</v>
      </c>
      <c r="F50" s="36" t="s">
        <v>383</v>
      </c>
      <c r="G50" s="36">
        <v>777</v>
      </c>
      <c r="H50">
        <v>6.65</v>
      </c>
      <c r="I50">
        <v>18.64</v>
      </c>
      <c r="J50">
        <v>156</v>
      </c>
      <c r="K50">
        <v>11</v>
      </c>
      <c r="L50">
        <v>1</v>
      </c>
      <c r="M50">
        <v>274</v>
      </c>
      <c r="N50">
        <v>0.97</v>
      </c>
      <c r="O50">
        <v>75</v>
      </c>
      <c r="P50">
        <v>0</v>
      </c>
      <c r="Q50">
        <v>1.5</v>
      </c>
      <c r="R50">
        <v>25</v>
      </c>
      <c r="S50">
        <v>4.3</v>
      </c>
      <c r="T50">
        <v>30</v>
      </c>
      <c r="U50">
        <v>0</v>
      </c>
      <c r="V50">
        <v>0.09</v>
      </c>
      <c r="W50">
        <v>143.4</v>
      </c>
      <c r="X50">
        <v>26.5</v>
      </c>
      <c r="Y50">
        <v>2</v>
      </c>
      <c r="Z50">
        <v>68.721999999999994</v>
      </c>
    </row>
    <row r="51" spans="1:26" x14ac:dyDescent="0.25">
      <c r="A51" t="str">
        <f t="shared" si="1"/>
        <v>I3</v>
      </c>
      <c r="B51">
        <v>152</v>
      </c>
      <c r="C51" s="49" t="s">
        <v>56</v>
      </c>
      <c r="D51">
        <v>3</v>
      </c>
      <c r="E51" s="49" t="s">
        <v>142</v>
      </c>
      <c r="F51" s="50" t="s">
        <v>382</v>
      </c>
      <c r="G51" s="50">
        <v>996</v>
      </c>
      <c r="H51">
        <v>6.03</v>
      </c>
      <c r="I51">
        <v>9.83</v>
      </c>
      <c r="J51">
        <v>146</v>
      </c>
      <c r="K51">
        <v>11</v>
      </c>
      <c r="L51">
        <v>1</v>
      </c>
      <c r="M51">
        <v>275</v>
      </c>
      <c r="N51">
        <v>0.8</v>
      </c>
      <c r="O51">
        <v>67</v>
      </c>
      <c r="P51">
        <v>0</v>
      </c>
      <c r="Q51">
        <v>2.2000000000000002</v>
      </c>
      <c r="R51">
        <v>18</v>
      </c>
      <c r="S51">
        <v>4</v>
      </c>
      <c r="T51">
        <v>33</v>
      </c>
      <c r="U51">
        <v>0</v>
      </c>
      <c r="V51">
        <v>0.05</v>
      </c>
      <c r="W51">
        <v>141.9</v>
      </c>
      <c r="X51">
        <v>23.4</v>
      </c>
      <c r="Y51">
        <v>2.4</v>
      </c>
      <c r="Z51">
        <v>56.063000000000002</v>
      </c>
    </row>
    <row r="52" spans="1:26" x14ac:dyDescent="0.25">
      <c r="A52" t="str">
        <f t="shared" si="1"/>
        <v>L3</v>
      </c>
      <c r="B52">
        <v>151</v>
      </c>
      <c r="C52" s="49" t="s">
        <v>58</v>
      </c>
      <c r="D52">
        <v>3</v>
      </c>
      <c r="E52" s="49" t="s">
        <v>142</v>
      </c>
      <c r="F52" s="50" t="s">
        <v>383</v>
      </c>
      <c r="G52" s="50">
        <v>1175</v>
      </c>
      <c r="H52">
        <v>7.01</v>
      </c>
      <c r="I52">
        <v>6.85</v>
      </c>
      <c r="J52">
        <v>64</v>
      </c>
      <c r="K52">
        <v>8</v>
      </c>
      <c r="L52">
        <v>0</v>
      </c>
      <c r="M52">
        <v>148</v>
      </c>
      <c r="N52">
        <v>0.97</v>
      </c>
      <c r="O52">
        <v>85</v>
      </c>
      <c r="P52">
        <v>0</v>
      </c>
      <c r="Q52">
        <v>1.5</v>
      </c>
      <c r="R52">
        <v>14</v>
      </c>
      <c r="S52">
        <v>5.8</v>
      </c>
      <c r="T52">
        <v>25</v>
      </c>
      <c r="U52">
        <v>0</v>
      </c>
      <c r="V52">
        <v>0.11</v>
      </c>
      <c r="W52">
        <v>135.4</v>
      </c>
      <c r="X52">
        <v>22.69</v>
      </c>
      <c r="Y52">
        <v>3</v>
      </c>
      <c r="Z52">
        <v>66.009</v>
      </c>
    </row>
    <row r="53" spans="1:26" x14ac:dyDescent="0.25">
      <c r="A53" t="str">
        <f t="shared" si="1"/>
        <v>Ø3</v>
      </c>
      <c r="B53">
        <v>154</v>
      </c>
      <c r="C53" s="24" t="s">
        <v>175</v>
      </c>
      <c r="D53">
        <v>3</v>
      </c>
      <c r="E53" s="48" t="s">
        <v>142</v>
      </c>
      <c r="F53" s="36" t="s">
        <v>382</v>
      </c>
      <c r="G53" s="36">
        <v>826</v>
      </c>
      <c r="H53">
        <v>6.54</v>
      </c>
      <c r="I53">
        <v>19.760000000000002</v>
      </c>
      <c r="J53">
        <v>52</v>
      </c>
      <c r="K53">
        <v>9</v>
      </c>
      <c r="L53">
        <v>1</v>
      </c>
      <c r="M53">
        <v>134</v>
      </c>
      <c r="N53">
        <v>1.25</v>
      </c>
      <c r="O53">
        <v>97</v>
      </c>
      <c r="P53">
        <v>0</v>
      </c>
      <c r="Q53">
        <v>1.4</v>
      </c>
      <c r="R53">
        <v>14</v>
      </c>
      <c r="S53">
        <v>6</v>
      </c>
      <c r="T53">
        <v>33</v>
      </c>
      <c r="U53">
        <v>0</v>
      </c>
      <c r="V53">
        <v>7.0000000000000007E-2</v>
      </c>
      <c r="W53">
        <v>152.6</v>
      </c>
      <c r="X53">
        <v>27.47</v>
      </c>
      <c r="Y53">
        <v>0.8</v>
      </c>
      <c r="Z53">
        <v>69.037000000000006</v>
      </c>
    </row>
    <row r="54" spans="1:26" x14ac:dyDescent="0.25">
      <c r="A54" t="str">
        <f t="shared" si="1"/>
        <v>Å3</v>
      </c>
      <c r="B54">
        <v>147</v>
      </c>
      <c r="C54" s="49" t="s">
        <v>145</v>
      </c>
      <c r="D54">
        <v>3</v>
      </c>
      <c r="E54" s="49" t="s">
        <v>142</v>
      </c>
      <c r="F54" s="50" t="s">
        <v>382</v>
      </c>
      <c r="G54" s="50">
        <v>970</v>
      </c>
      <c r="H54">
        <v>7.46</v>
      </c>
      <c r="I54">
        <v>15.86</v>
      </c>
      <c r="J54">
        <v>122</v>
      </c>
      <c r="K54">
        <v>13</v>
      </c>
      <c r="L54">
        <v>0</v>
      </c>
      <c r="M54">
        <v>523</v>
      </c>
      <c r="N54">
        <v>1.04</v>
      </c>
      <c r="O54">
        <v>76</v>
      </c>
      <c r="P54">
        <v>0</v>
      </c>
      <c r="Q54">
        <v>1.9</v>
      </c>
      <c r="R54">
        <v>16</v>
      </c>
      <c r="S54">
        <v>3.9</v>
      </c>
      <c r="T54">
        <v>18</v>
      </c>
      <c r="U54">
        <v>0</v>
      </c>
      <c r="V54">
        <v>0.05</v>
      </c>
      <c r="W54">
        <v>147.30000000000001</v>
      </c>
      <c r="X54">
        <v>26.35</v>
      </c>
      <c r="Y54">
        <v>4.8</v>
      </c>
      <c r="Z54">
        <v>56.085000000000001</v>
      </c>
    </row>
    <row r="55" spans="1:26" x14ac:dyDescent="0.25">
      <c r="A55" t="str">
        <f t="shared" si="1"/>
        <v>C1</v>
      </c>
      <c r="B55">
        <v>109</v>
      </c>
      <c r="C55" s="25" t="s">
        <v>43</v>
      </c>
      <c r="D55">
        <v>1</v>
      </c>
      <c r="E55" s="25" t="s">
        <v>146</v>
      </c>
      <c r="F55" s="32" t="s">
        <v>49</v>
      </c>
      <c r="G55" s="26">
        <v>1065.9000000000001</v>
      </c>
      <c r="H55">
        <v>8.06</v>
      </c>
      <c r="I55">
        <v>21.79</v>
      </c>
      <c r="J55">
        <v>407</v>
      </c>
      <c r="K55">
        <v>10</v>
      </c>
      <c r="L55">
        <v>1</v>
      </c>
      <c r="M55">
        <v>128</v>
      </c>
      <c r="N55">
        <v>1.32</v>
      </c>
      <c r="O55">
        <v>93</v>
      </c>
      <c r="P55">
        <v>0</v>
      </c>
      <c r="Q55">
        <v>0.9</v>
      </c>
      <c r="R55">
        <v>18</v>
      </c>
      <c r="S55">
        <v>4.5</v>
      </c>
      <c r="T55">
        <v>29</v>
      </c>
      <c r="U55">
        <v>0</v>
      </c>
      <c r="V55">
        <v>0.1</v>
      </c>
      <c r="W55">
        <v>149.6</v>
      </c>
      <c r="X55">
        <v>20.64</v>
      </c>
      <c r="Y55">
        <v>1.3</v>
      </c>
      <c r="Z55">
        <v>56.412999999999997</v>
      </c>
    </row>
    <row r="56" spans="1:26" x14ac:dyDescent="0.25">
      <c r="A56" s="50" t="str">
        <f t="shared" si="1"/>
        <v>D1</v>
      </c>
      <c r="B56" s="50"/>
      <c r="C56" s="49" t="s">
        <v>45</v>
      </c>
      <c r="D56" s="50">
        <v>1</v>
      </c>
      <c r="E56" s="49" t="s">
        <v>146</v>
      </c>
      <c r="F56" s="63" t="s">
        <v>49</v>
      </c>
      <c r="G56" s="50">
        <v>1224</v>
      </c>
    </row>
    <row r="57" spans="1:26" x14ac:dyDescent="0.25">
      <c r="A57" t="str">
        <f t="shared" si="1"/>
        <v>E1</v>
      </c>
      <c r="B57">
        <v>108</v>
      </c>
      <c r="C57" s="25" t="s">
        <v>47</v>
      </c>
      <c r="D57">
        <v>1</v>
      </c>
      <c r="E57" s="25" t="s">
        <v>146</v>
      </c>
      <c r="F57" s="32" t="s">
        <v>60</v>
      </c>
      <c r="G57" s="26">
        <v>1174</v>
      </c>
      <c r="H57">
        <v>7.18</v>
      </c>
      <c r="I57">
        <v>20.079999999999998</v>
      </c>
      <c r="J57">
        <v>79</v>
      </c>
      <c r="K57">
        <v>11</v>
      </c>
      <c r="L57">
        <v>3</v>
      </c>
      <c r="M57">
        <v>195</v>
      </c>
      <c r="N57">
        <v>1.44</v>
      </c>
      <c r="O57">
        <v>72</v>
      </c>
      <c r="P57">
        <v>0</v>
      </c>
      <c r="Q57">
        <v>1.4</v>
      </c>
      <c r="R57">
        <v>17</v>
      </c>
      <c r="S57">
        <v>4.8</v>
      </c>
      <c r="T57">
        <v>18</v>
      </c>
      <c r="U57">
        <v>0</v>
      </c>
      <c r="V57">
        <v>7.0000000000000007E-2</v>
      </c>
      <c r="W57">
        <v>147.5</v>
      </c>
      <c r="X57">
        <v>26.37</v>
      </c>
      <c r="Y57">
        <v>3.1</v>
      </c>
      <c r="Z57">
        <v>47.313000000000002</v>
      </c>
    </row>
    <row r="58" spans="1:26" x14ac:dyDescent="0.25">
      <c r="A58" t="str">
        <f t="shared" si="1"/>
        <v>G1</v>
      </c>
      <c r="B58">
        <v>106</v>
      </c>
      <c r="C58" s="25" t="s">
        <v>51</v>
      </c>
      <c r="D58">
        <v>1</v>
      </c>
      <c r="E58" s="25" t="s">
        <v>146</v>
      </c>
      <c r="F58" s="32" t="s">
        <v>49</v>
      </c>
      <c r="G58" s="26">
        <v>932.1</v>
      </c>
      <c r="H58">
        <v>7.92</v>
      </c>
      <c r="I58">
        <v>19.39</v>
      </c>
      <c r="J58">
        <v>492</v>
      </c>
      <c r="K58">
        <v>13</v>
      </c>
      <c r="L58">
        <v>2</v>
      </c>
      <c r="M58">
        <v>601</v>
      </c>
      <c r="N58">
        <v>1.38</v>
      </c>
      <c r="O58">
        <v>115</v>
      </c>
      <c r="P58">
        <v>0</v>
      </c>
      <c r="Q58">
        <v>1.5</v>
      </c>
      <c r="R58">
        <v>64</v>
      </c>
      <c r="S58">
        <v>5.6</v>
      </c>
      <c r="T58">
        <v>25</v>
      </c>
      <c r="U58">
        <v>0</v>
      </c>
      <c r="V58">
        <v>0.11</v>
      </c>
      <c r="W58">
        <v>146</v>
      </c>
      <c r="X58">
        <v>25.91</v>
      </c>
      <c r="Y58">
        <v>0.9</v>
      </c>
      <c r="Z58">
        <v>55.594999999999999</v>
      </c>
    </row>
    <row r="59" spans="1:26" x14ac:dyDescent="0.25">
      <c r="A59" t="str">
        <f t="shared" si="1"/>
        <v>O1</v>
      </c>
      <c r="B59">
        <v>103</v>
      </c>
      <c r="C59" s="25" t="s">
        <v>64</v>
      </c>
      <c r="D59">
        <v>1</v>
      </c>
      <c r="E59" s="25" t="s">
        <v>146</v>
      </c>
      <c r="F59" s="32" t="s">
        <v>60</v>
      </c>
      <c r="G59" s="26">
        <v>1314.8</v>
      </c>
      <c r="H59">
        <v>7.89</v>
      </c>
      <c r="I59">
        <v>19.73</v>
      </c>
      <c r="J59">
        <v>256</v>
      </c>
      <c r="K59">
        <v>11</v>
      </c>
      <c r="L59">
        <v>1</v>
      </c>
      <c r="M59">
        <v>189</v>
      </c>
      <c r="N59">
        <v>1.32</v>
      </c>
      <c r="O59">
        <v>66</v>
      </c>
      <c r="P59">
        <v>0</v>
      </c>
      <c r="Q59">
        <v>2.2000000000000002</v>
      </c>
      <c r="R59">
        <v>15</v>
      </c>
      <c r="S59">
        <v>3.5</v>
      </c>
      <c r="T59">
        <v>20</v>
      </c>
      <c r="U59">
        <v>0</v>
      </c>
      <c r="V59">
        <v>0.08</v>
      </c>
      <c r="W59">
        <v>156.6</v>
      </c>
      <c r="X59">
        <v>26.37</v>
      </c>
      <c r="Y59">
        <v>4.3</v>
      </c>
      <c r="Z59">
        <v>64.680999999999997</v>
      </c>
    </row>
    <row r="60" spans="1:26" x14ac:dyDescent="0.25">
      <c r="A60" t="str">
        <f t="shared" si="1"/>
        <v>D2</v>
      </c>
      <c r="B60">
        <v>136</v>
      </c>
      <c r="C60" s="25" t="s">
        <v>45</v>
      </c>
      <c r="D60">
        <v>2</v>
      </c>
      <c r="E60" s="25" t="s">
        <v>146</v>
      </c>
      <c r="F60" s="32" t="s">
        <v>382</v>
      </c>
      <c r="G60" s="25">
        <v>1041</v>
      </c>
      <c r="H60">
        <v>8.8000000000000007</v>
      </c>
      <c r="I60">
        <v>23.22</v>
      </c>
      <c r="J60">
        <v>141</v>
      </c>
      <c r="K60">
        <v>10</v>
      </c>
      <c r="L60">
        <v>1</v>
      </c>
      <c r="M60">
        <v>98</v>
      </c>
      <c r="N60">
        <v>1.61</v>
      </c>
      <c r="O60">
        <v>114</v>
      </c>
      <c r="P60">
        <v>0</v>
      </c>
      <c r="Q60">
        <v>1.4</v>
      </c>
      <c r="R60">
        <v>36</v>
      </c>
      <c r="S60">
        <v>6.3</v>
      </c>
      <c r="T60">
        <v>34</v>
      </c>
      <c r="U60">
        <v>0</v>
      </c>
      <c r="V60">
        <v>0.12</v>
      </c>
      <c r="W60">
        <v>152.5</v>
      </c>
      <c r="X60">
        <v>25.51</v>
      </c>
      <c r="Y60">
        <v>3.4</v>
      </c>
      <c r="Z60">
        <v>46.784999999999997</v>
      </c>
    </row>
    <row r="61" spans="1:26" x14ac:dyDescent="0.25">
      <c r="A61" t="str">
        <f t="shared" si="1"/>
        <v>E2</v>
      </c>
      <c r="B61">
        <v>133</v>
      </c>
      <c r="C61" s="25" t="s">
        <v>47</v>
      </c>
      <c r="D61">
        <v>2</v>
      </c>
      <c r="E61" s="25" t="s">
        <v>146</v>
      </c>
      <c r="F61" s="32" t="s">
        <v>382</v>
      </c>
      <c r="G61" s="25">
        <v>1260.5999999999999</v>
      </c>
      <c r="H61">
        <v>8.18</v>
      </c>
      <c r="I61">
        <v>22.65</v>
      </c>
      <c r="J61">
        <v>60</v>
      </c>
      <c r="K61">
        <v>11</v>
      </c>
      <c r="L61">
        <v>1</v>
      </c>
      <c r="M61">
        <v>285</v>
      </c>
      <c r="N61">
        <v>1.28</v>
      </c>
      <c r="O61">
        <v>55</v>
      </c>
      <c r="P61">
        <v>0</v>
      </c>
      <c r="Q61">
        <v>1.3</v>
      </c>
      <c r="R61">
        <v>46</v>
      </c>
      <c r="S61">
        <v>5.4</v>
      </c>
      <c r="T61">
        <v>35</v>
      </c>
      <c r="U61">
        <v>0</v>
      </c>
      <c r="V61">
        <v>0.05</v>
      </c>
      <c r="W61">
        <v>155.80000000000001</v>
      </c>
      <c r="X61">
        <v>26.92</v>
      </c>
      <c r="Y61">
        <v>1.1000000000000001</v>
      </c>
      <c r="Z61">
        <v>50.521999999999998</v>
      </c>
    </row>
    <row r="62" spans="1:26" x14ac:dyDescent="0.25">
      <c r="A62" t="str">
        <f t="shared" si="1"/>
        <v>K2</v>
      </c>
      <c r="B62">
        <v>141</v>
      </c>
      <c r="C62" s="25" t="s">
        <v>82</v>
      </c>
      <c r="D62">
        <v>2</v>
      </c>
      <c r="E62" s="25" t="s">
        <v>146</v>
      </c>
      <c r="F62" s="32" t="s">
        <v>383</v>
      </c>
      <c r="G62" s="25">
        <v>1405</v>
      </c>
      <c r="H62">
        <v>7.2</v>
      </c>
      <c r="I62">
        <v>19.77</v>
      </c>
      <c r="J62">
        <v>86</v>
      </c>
      <c r="K62">
        <v>9</v>
      </c>
      <c r="L62">
        <v>1</v>
      </c>
      <c r="M62">
        <v>146</v>
      </c>
      <c r="N62">
        <v>1.46</v>
      </c>
      <c r="O62">
        <v>82</v>
      </c>
      <c r="P62">
        <v>0</v>
      </c>
      <c r="Q62">
        <v>1.4</v>
      </c>
      <c r="R62">
        <v>19</v>
      </c>
      <c r="S62">
        <v>5.4</v>
      </c>
      <c r="T62">
        <v>38</v>
      </c>
      <c r="U62">
        <v>0</v>
      </c>
      <c r="V62">
        <v>0.1</v>
      </c>
      <c r="W62">
        <v>150.1</v>
      </c>
      <c r="X62">
        <v>25.31</v>
      </c>
      <c r="Y62">
        <v>2.2999999999999998</v>
      </c>
      <c r="Z62">
        <v>76.927999999999997</v>
      </c>
    </row>
    <row r="63" spans="1:26" x14ac:dyDescent="0.25">
      <c r="A63" t="str">
        <f t="shared" si="1"/>
        <v>U2</v>
      </c>
      <c r="B63">
        <v>121</v>
      </c>
      <c r="C63" s="25" t="s">
        <v>388</v>
      </c>
      <c r="D63">
        <v>2</v>
      </c>
      <c r="E63" s="25" t="s">
        <v>146</v>
      </c>
      <c r="F63" s="32" t="s">
        <v>383</v>
      </c>
      <c r="G63" s="25">
        <v>741.5</v>
      </c>
      <c r="H63">
        <v>4.72</v>
      </c>
      <c r="I63">
        <v>3.2</v>
      </c>
      <c r="J63">
        <v>324</v>
      </c>
      <c r="K63">
        <v>11</v>
      </c>
      <c r="L63">
        <v>0</v>
      </c>
      <c r="M63">
        <v>253</v>
      </c>
      <c r="N63">
        <v>1</v>
      </c>
      <c r="O63">
        <v>74</v>
      </c>
      <c r="P63">
        <v>0</v>
      </c>
      <c r="Q63">
        <v>2.2999999999999998</v>
      </c>
      <c r="R63">
        <v>20</v>
      </c>
      <c r="S63">
        <v>3.7</v>
      </c>
      <c r="T63">
        <v>34</v>
      </c>
      <c r="U63">
        <v>0</v>
      </c>
      <c r="V63">
        <v>0.09</v>
      </c>
      <c r="W63">
        <v>124.2</v>
      </c>
      <c r="X63">
        <v>40.82</v>
      </c>
      <c r="Y63">
        <v>4.5</v>
      </c>
      <c r="Z63">
        <v>38.323</v>
      </c>
    </row>
    <row r="64" spans="1:26" x14ac:dyDescent="0.25">
      <c r="A64" t="str">
        <f t="shared" si="1"/>
        <v>V2</v>
      </c>
      <c r="B64">
        <v>127</v>
      </c>
      <c r="C64" s="25" t="s">
        <v>389</v>
      </c>
      <c r="D64">
        <v>2</v>
      </c>
      <c r="E64" s="25" t="s">
        <v>146</v>
      </c>
      <c r="F64" s="32" t="s">
        <v>383</v>
      </c>
      <c r="G64" s="25">
        <v>1281</v>
      </c>
      <c r="H64">
        <v>6.16</v>
      </c>
      <c r="I64">
        <v>17.670000000000002</v>
      </c>
      <c r="J64">
        <v>26</v>
      </c>
      <c r="K64">
        <v>9</v>
      </c>
      <c r="L64">
        <v>1</v>
      </c>
      <c r="M64">
        <v>435</v>
      </c>
      <c r="N64">
        <v>1.24</v>
      </c>
      <c r="O64">
        <v>50</v>
      </c>
      <c r="P64">
        <v>0</v>
      </c>
      <c r="Q64">
        <v>1.4</v>
      </c>
      <c r="R64">
        <v>81</v>
      </c>
      <c r="S64">
        <v>3.8</v>
      </c>
      <c r="T64">
        <v>50</v>
      </c>
      <c r="U64">
        <v>0</v>
      </c>
      <c r="V64">
        <v>0.05</v>
      </c>
      <c r="W64">
        <v>142.6</v>
      </c>
      <c r="X64">
        <v>35.799999999999997</v>
      </c>
      <c r="Y64">
        <v>4.2</v>
      </c>
      <c r="Z64">
        <v>56.048000000000002</v>
      </c>
    </row>
    <row r="65" spans="1:26" x14ac:dyDescent="0.25">
      <c r="A65" t="str">
        <f t="shared" si="1"/>
        <v>X2</v>
      </c>
      <c r="B65">
        <v>139</v>
      </c>
      <c r="C65" s="25" t="s">
        <v>390</v>
      </c>
      <c r="D65">
        <v>2</v>
      </c>
      <c r="E65" s="25" t="s">
        <v>146</v>
      </c>
      <c r="F65" s="32" t="s">
        <v>383</v>
      </c>
      <c r="G65" s="25">
        <v>1111</v>
      </c>
      <c r="H65">
        <v>5.92</v>
      </c>
      <c r="I65">
        <v>16.37</v>
      </c>
      <c r="J65">
        <v>110</v>
      </c>
      <c r="K65">
        <v>11</v>
      </c>
      <c r="L65">
        <v>2</v>
      </c>
      <c r="M65">
        <v>150</v>
      </c>
      <c r="N65">
        <v>1.62</v>
      </c>
      <c r="O65">
        <v>63</v>
      </c>
      <c r="P65">
        <v>0</v>
      </c>
      <c r="Q65">
        <v>1.2</v>
      </c>
      <c r="R65">
        <v>20</v>
      </c>
      <c r="S65">
        <v>3.8</v>
      </c>
      <c r="T65">
        <v>31</v>
      </c>
      <c r="U65">
        <v>0</v>
      </c>
      <c r="V65">
        <v>0.13</v>
      </c>
      <c r="W65">
        <v>137.1</v>
      </c>
      <c r="X65">
        <v>23.79</v>
      </c>
      <c r="Y65">
        <v>4.7</v>
      </c>
      <c r="Z65">
        <v>65.885999999999996</v>
      </c>
    </row>
    <row r="66" spans="1:26" x14ac:dyDescent="0.25">
      <c r="A66" t="str">
        <f t="shared" ref="A66:A72" si="2">C66&amp;D66</f>
        <v>Å2</v>
      </c>
      <c r="B66">
        <v>130</v>
      </c>
      <c r="C66" s="25" t="s">
        <v>145</v>
      </c>
      <c r="D66">
        <v>2</v>
      </c>
      <c r="E66" s="25" t="s">
        <v>146</v>
      </c>
      <c r="F66" s="32" t="s">
        <v>383</v>
      </c>
      <c r="G66" s="25">
        <v>902</v>
      </c>
      <c r="H66">
        <v>7.74</v>
      </c>
      <c r="I66">
        <v>22.05</v>
      </c>
      <c r="J66">
        <v>82</v>
      </c>
      <c r="K66">
        <v>12</v>
      </c>
      <c r="L66">
        <v>2</v>
      </c>
      <c r="M66">
        <v>75</v>
      </c>
      <c r="N66">
        <v>1.55</v>
      </c>
      <c r="O66">
        <v>71</v>
      </c>
      <c r="P66">
        <v>0</v>
      </c>
      <c r="Q66">
        <v>1.2</v>
      </c>
      <c r="R66">
        <v>18</v>
      </c>
      <c r="S66">
        <v>5.6</v>
      </c>
      <c r="T66">
        <v>63</v>
      </c>
      <c r="U66">
        <v>0</v>
      </c>
      <c r="V66">
        <v>0.08</v>
      </c>
      <c r="W66">
        <v>152.5</v>
      </c>
      <c r="X66">
        <v>27.71</v>
      </c>
      <c r="Y66">
        <v>2.9</v>
      </c>
      <c r="Z66">
        <v>54.697000000000003</v>
      </c>
    </row>
    <row r="67" spans="1:26" x14ac:dyDescent="0.25">
      <c r="A67" t="str">
        <f t="shared" si="2"/>
        <v>N3</v>
      </c>
      <c r="B67">
        <v>159</v>
      </c>
      <c r="C67" s="25" t="s">
        <v>62</v>
      </c>
      <c r="D67">
        <v>3</v>
      </c>
      <c r="E67" s="48" t="s">
        <v>146</v>
      </c>
      <c r="F67" s="26" t="s">
        <v>383</v>
      </c>
      <c r="G67" s="26">
        <v>1219</v>
      </c>
      <c r="H67">
        <v>7.83</v>
      </c>
      <c r="I67">
        <v>21.14</v>
      </c>
      <c r="J67">
        <v>48</v>
      </c>
      <c r="K67">
        <v>13</v>
      </c>
      <c r="L67">
        <v>2</v>
      </c>
      <c r="M67">
        <v>284</v>
      </c>
      <c r="N67">
        <v>1.42</v>
      </c>
      <c r="O67">
        <v>72</v>
      </c>
      <c r="P67">
        <v>0</v>
      </c>
      <c r="Q67">
        <v>2.1</v>
      </c>
      <c r="R67">
        <v>14</v>
      </c>
      <c r="S67">
        <v>4.4000000000000004</v>
      </c>
      <c r="T67">
        <v>33</v>
      </c>
      <c r="U67">
        <v>0</v>
      </c>
      <c r="V67">
        <v>0.1</v>
      </c>
      <c r="W67">
        <v>155.80000000000001</v>
      </c>
      <c r="X67">
        <v>23.13</v>
      </c>
      <c r="Y67">
        <v>2.1</v>
      </c>
      <c r="Z67">
        <v>51.155999999999999</v>
      </c>
    </row>
    <row r="68" spans="1:26" x14ac:dyDescent="0.25">
      <c r="A68" s="50" t="str">
        <f t="shared" si="2"/>
        <v>O3</v>
      </c>
      <c r="B68" s="50">
        <v>157</v>
      </c>
      <c r="C68" s="49" t="s">
        <v>64</v>
      </c>
      <c r="D68" s="50">
        <v>3</v>
      </c>
      <c r="E68" s="49" t="s">
        <v>146</v>
      </c>
      <c r="F68" s="50" t="s">
        <v>382</v>
      </c>
      <c r="G68" s="50">
        <v>849</v>
      </c>
      <c r="H68">
        <v>7.39</v>
      </c>
      <c r="I68">
        <v>23.6</v>
      </c>
      <c r="J68">
        <v>83</v>
      </c>
      <c r="K68">
        <v>11</v>
      </c>
      <c r="L68">
        <v>1</v>
      </c>
      <c r="M68">
        <v>232</v>
      </c>
      <c r="N68">
        <v>1.76</v>
      </c>
      <c r="O68">
        <v>45</v>
      </c>
      <c r="P68">
        <v>0</v>
      </c>
      <c r="Q68">
        <v>1.4</v>
      </c>
      <c r="R68">
        <v>28</v>
      </c>
      <c r="S68">
        <v>3</v>
      </c>
      <c r="T68">
        <v>16</v>
      </c>
      <c r="U68">
        <v>0</v>
      </c>
      <c r="V68">
        <v>0.01</v>
      </c>
      <c r="W68">
        <v>152.30000000000001</v>
      </c>
      <c r="X68">
        <v>27.93</v>
      </c>
      <c r="Y68">
        <v>3.9</v>
      </c>
    </row>
    <row r="69" spans="1:26" x14ac:dyDescent="0.25">
      <c r="A69" t="str">
        <f t="shared" si="2"/>
        <v>T3</v>
      </c>
      <c r="B69">
        <v>144</v>
      </c>
      <c r="C69" s="49" t="s">
        <v>386</v>
      </c>
      <c r="D69">
        <v>3</v>
      </c>
      <c r="E69" s="49" t="s">
        <v>146</v>
      </c>
      <c r="F69" s="50" t="s">
        <v>383</v>
      </c>
      <c r="G69" s="50">
        <v>1017</v>
      </c>
      <c r="H69">
        <v>7.05</v>
      </c>
      <c r="I69">
        <v>9.42</v>
      </c>
      <c r="J69">
        <v>153</v>
      </c>
      <c r="K69">
        <v>9</v>
      </c>
      <c r="L69">
        <v>0</v>
      </c>
      <c r="M69">
        <v>327</v>
      </c>
      <c r="N69">
        <v>1.2</v>
      </c>
      <c r="O69">
        <v>87</v>
      </c>
      <c r="P69">
        <v>0</v>
      </c>
      <c r="Q69">
        <v>2.1</v>
      </c>
      <c r="R69">
        <v>28</v>
      </c>
      <c r="S69">
        <v>4</v>
      </c>
      <c r="T69">
        <v>37</v>
      </c>
      <c r="U69">
        <v>0</v>
      </c>
      <c r="V69">
        <v>7.0000000000000007E-2</v>
      </c>
      <c r="W69">
        <v>151.6</v>
      </c>
      <c r="X69">
        <v>23.26</v>
      </c>
      <c r="Y69">
        <v>4.5999999999999996</v>
      </c>
      <c r="Z69">
        <v>61.7</v>
      </c>
    </row>
    <row r="70" spans="1:26" x14ac:dyDescent="0.25">
      <c r="A70" t="str">
        <f t="shared" si="2"/>
        <v>U3</v>
      </c>
      <c r="B70">
        <v>142</v>
      </c>
      <c r="C70" s="49" t="s">
        <v>388</v>
      </c>
      <c r="D70">
        <v>3</v>
      </c>
      <c r="E70" s="49" t="s">
        <v>146</v>
      </c>
      <c r="F70" s="50" t="s">
        <v>382</v>
      </c>
      <c r="G70" s="50">
        <v>909</v>
      </c>
      <c r="H70">
        <v>6.18</v>
      </c>
      <c r="I70">
        <v>0</v>
      </c>
      <c r="J70">
        <v>96</v>
      </c>
      <c r="K70">
        <v>10</v>
      </c>
      <c r="L70">
        <v>0</v>
      </c>
      <c r="M70">
        <v>153</v>
      </c>
      <c r="N70">
        <v>1.02</v>
      </c>
      <c r="O70">
        <v>97</v>
      </c>
      <c r="P70">
        <v>0</v>
      </c>
      <c r="Q70">
        <v>1.4</v>
      </c>
      <c r="R70">
        <v>18</v>
      </c>
      <c r="S70">
        <v>4.4000000000000004</v>
      </c>
      <c r="T70">
        <v>24</v>
      </c>
      <c r="U70">
        <v>0</v>
      </c>
      <c r="V70">
        <v>0.09</v>
      </c>
      <c r="W70">
        <v>144.69999999999999</v>
      </c>
      <c r="X70">
        <v>23.56</v>
      </c>
      <c r="Y70">
        <v>2.5</v>
      </c>
      <c r="Z70">
        <v>75.459000000000003</v>
      </c>
    </row>
    <row r="71" spans="1:26" x14ac:dyDescent="0.25">
      <c r="A71" t="str">
        <f t="shared" si="2"/>
        <v>V3</v>
      </c>
      <c r="B71">
        <v>158</v>
      </c>
      <c r="C71" s="25" t="s">
        <v>389</v>
      </c>
      <c r="D71">
        <v>3</v>
      </c>
      <c r="E71" s="48" t="s">
        <v>146</v>
      </c>
      <c r="F71" s="26" t="s">
        <v>382</v>
      </c>
      <c r="G71" s="26">
        <v>795</v>
      </c>
      <c r="H71">
        <v>7.41</v>
      </c>
      <c r="I71">
        <v>20.65</v>
      </c>
      <c r="J71">
        <v>24</v>
      </c>
      <c r="K71">
        <v>12</v>
      </c>
      <c r="L71">
        <v>1</v>
      </c>
      <c r="M71">
        <v>247</v>
      </c>
      <c r="N71">
        <v>1.56</v>
      </c>
      <c r="O71">
        <v>59</v>
      </c>
      <c r="P71">
        <v>0</v>
      </c>
      <c r="Q71">
        <v>1.8</v>
      </c>
      <c r="R71">
        <v>24</v>
      </c>
      <c r="S71">
        <v>4</v>
      </c>
      <c r="T71">
        <v>29</v>
      </c>
      <c r="U71">
        <v>0</v>
      </c>
      <c r="V71">
        <v>0.13</v>
      </c>
      <c r="W71">
        <v>148.19999999999999</v>
      </c>
      <c r="X71">
        <v>23.45</v>
      </c>
      <c r="Y71">
        <v>4</v>
      </c>
      <c r="Z71">
        <v>54.600999999999999</v>
      </c>
    </row>
    <row r="72" spans="1:26" x14ac:dyDescent="0.25">
      <c r="A72" t="str">
        <f t="shared" si="2"/>
        <v>Y3</v>
      </c>
      <c r="B72">
        <v>156</v>
      </c>
      <c r="C72" s="25" t="s">
        <v>384</v>
      </c>
      <c r="D72">
        <v>3</v>
      </c>
      <c r="E72" s="48" t="s">
        <v>146</v>
      </c>
      <c r="F72" s="26" t="s">
        <v>382</v>
      </c>
      <c r="G72" s="26">
        <v>702</v>
      </c>
      <c r="H72">
        <v>7.06</v>
      </c>
      <c r="I72">
        <v>21.86</v>
      </c>
      <c r="J72">
        <v>154</v>
      </c>
      <c r="K72">
        <v>13</v>
      </c>
      <c r="L72">
        <v>0</v>
      </c>
      <c r="M72">
        <v>237</v>
      </c>
      <c r="N72">
        <v>1.42</v>
      </c>
      <c r="O72">
        <v>90</v>
      </c>
      <c r="P72">
        <v>0</v>
      </c>
      <c r="Q72">
        <v>1.4</v>
      </c>
      <c r="R72">
        <v>55</v>
      </c>
      <c r="S72">
        <v>5.2</v>
      </c>
      <c r="T72">
        <v>37</v>
      </c>
      <c r="U72">
        <v>0</v>
      </c>
      <c r="V72">
        <v>0.01</v>
      </c>
      <c r="W72">
        <v>151.9</v>
      </c>
      <c r="X72">
        <v>38.369999999999997</v>
      </c>
      <c r="Y72">
        <v>3.2</v>
      </c>
      <c r="Z72">
        <v>48.997</v>
      </c>
    </row>
  </sheetData>
  <autoFilter ref="A1:Z1" xr:uid="{00000000-0001-0000-0400-000000000000}">
    <sortState xmlns:xlrd2="http://schemas.microsoft.com/office/spreadsheetml/2017/richdata2" ref="A2:Z72">
      <sortCondition ref="E1"/>
    </sortState>
  </autoFilter>
  <sortState xmlns:xlrd2="http://schemas.microsoft.com/office/spreadsheetml/2017/richdata2" ref="A2:Z72">
    <sortCondition ref="D2:D72"/>
    <sortCondition ref="C2:C72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D29EF9-9B9E-4924-8A3D-95B1A78FDFBF}">
  <dimension ref="A1:K52"/>
  <sheetViews>
    <sheetView workbookViewId="0">
      <selection activeCell="R16" sqref="R16"/>
    </sheetView>
  </sheetViews>
  <sheetFormatPr defaultRowHeight="15" x14ac:dyDescent="0.25"/>
  <cols>
    <col min="2" max="2" width="36.85546875" customWidth="1"/>
    <col min="3" max="3" width="9.140625" style="34"/>
    <col min="4" max="4" width="9.42578125" bestFit="1" customWidth="1"/>
    <col min="9" max="9" width="27.28515625" customWidth="1"/>
  </cols>
  <sheetData>
    <row r="1" spans="1:11" ht="15.75" thickBot="1" x14ac:dyDescent="0.3">
      <c r="A1" s="8" t="s">
        <v>1</v>
      </c>
      <c r="B1" s="8" t="s">
        <v>2</v>
      </c>
      <c r="C1" s="27" t="s">
        <v>367</v>
      </c>
      <c r="D1" t="s">
        <v>1536</v>
      </c>
      <c r="E1" t="s">
        <v>1543</v>
      </c>
      <c r="I1" t="s">
        <v>1560</v>
      </c>
    </row>
    <row r="2" spans="1:11" x14ac:dyDescent="0.25">
      <c r="A2">
        <v>1</v>
      </c>
      <c r="B2" s="21" t="s">
        <v>1556</v>
      </c>
      <c r="C2" s="33" t="s">
        <v>60</v>
      </c>
      <c r="D2">
        <v>12</v>
      </c>
      <c r="E2">
        <v>74</v>
      </c>
      <c r="J2" t="s">
        <v>1536</v>
      </c>
      <c r="K2" t="s">
        <v>1543</v>
      </c>
    </row>
    <row r="3" spans="1:11" x14ac:dyDescent="0.25">
      <c r="A3">
        <v>1</v>
      </c>
      <c r="B3" s="4" t="s">
        <v>1556</v>
      </c>
      <c r="C3" s="33" t="s">
        <v>49</v>
      </c>
      <c r="D3" t="s">
        <v>1551</v>
      </c>
      <c r="E3" t="s">
        <v>1551</v>
      </c>
      <c r="I3" t="s">
        <v>1561</v>
      </c>
      <c r="J3">
        <v>0.42148616596890798</v>
      </c>
      <c r="K3">
        <v>3.5848472655459297E-2</v>
      </c>
    </row>
    <row r="4" spans="1:11" x14ac:dyDescent="0.25">
      <c r="A4">
        <v>2</v>
      </c>
      <c r="B4" s="4" t="s">
        <v>1556</v>
      </c>
      <c r="C4" s="33" t="s">
        <v>382</v>
      </c>
      <c r="D4">
        <v>17</v>
      </c>
      <c r="E4">
        <v>20</v>
      </c>
      <c r="I4" t="s">
        <v>1562</v>
      </c>
      <c r="J4">
        <v>0.12929889337178299</v>
      </c>
      <c r="K4">
        <v>0.99997578109634799</v>
      </c>
    </row>
    <row r="5" spans="1:11" x14ac:dyDescent="0.25">
      <c r="A5">
        <v>2</v>
      </c>
      <c r="B5" s="4" t="s">
        <v>1556</v>
      </c>
      <c r="C5" s="33" t="s">
        <v>383</v>
      </c>
      <c r="D5">
        <v>18</v>
      </c>
      <c r="E5">
        <v>20</v>
      </c>
      <c r="I5" t="s">
        <v>1563</v>
      </c>
      <c r="J5">
        <v>7.9122055410618696E-4</v>
      </c>
      <c r="K5">
        <v>0.99999999464891198</v>
      </c>
    </row>
    <row r="6" spans="1:11" x14ac:dyDescent="0.25">
      <c r="A6" s="66">
        <v>2</v>
      </c>
      <c r="B6" s="67" t="s">
        <v>1556</v>
      </c>
      <c r="C6" s="133" t="s">
        <v>383</v>
      </c>
      <c r="D6">
        <v>20</v>
      </c>
      <c r="E6">
        <v>249</v>
      </c>
      <c r="I6" t="s">
        <v>1564</v>
      </c>
      <c r="J6">
        <v>0.98969328955946601</v>
      </c>
      <c r="K6">
        <v>6.9013971004098507E-2</v>
      </c>
    </row>
    <row r="7" spans="1:11" x14ac:dyDescent="0.25">
      <c r="A7">
        <v>3</v>
      </c>
      <c r="B7" s="130" t="s">
        <v>1556</v>
      </c>
      <c r="C7" s="53" t="s">
        <v>382</v>
      </c>
      <c r="D7" t="s">
        <v>1551</v>
      </c>
      <c r="E7" t="s">
        <v>1551</v>
      </c>
    </row>
    <row r="8" spans="1:11" x14ac:dyDescent="0.25">
      <c r="A8">
        <v>3</v>
      </c>
      <c r="B8" s="75" t="s">
        <v>1556</v>
      </c>
      <c r="C8" s="53" t="s">
        <v>383</v>
      </c>
      <c r="D8">
        <v>15</v>
      </c>
      <c r="E8">
        <v>15</v>
      </c>
    </row>
    <row r="9" spans="1:11" x14ac:dyDescent="0.25">
      <c r="A9">
        <v>3</v>
      </c>
      <c r="B9" s="75" t="s">
        <v>1556</v>
      </c>
      <c r="C9" s="53" t="s">
        <v>382</v>
      </c>
      <c r="D9">
        <v>14</v>
      </c>
      <c r="E9">
        <v>57</v>
      </c>
    </row>
    <row r="10" spans="1:11" x14ac:dyDescent="0.25">
      <c r="A10">
        <v>1</v>
      </c>
      <c r="B10" s="18" t="s">
        <v>1557</v>
      </c>
      <c r="C10" s="31" t="s">
        <v>49</v>
      </c>
      <c r="D10">
        <v>10</v>
      </c>
      <c r="E10">
        <v>16</v>
      </c>
    </row>
    <row r="11" spans="1:11" x14ac:dyDescent="0.25">
      <c r="A11">
        <v>1</v>
      </c>
      <c r="B11" s="18" t="s">
        <v>1557</v>
      </c>
      <c r="C11" s="31" t="s">
        <v>49</v>
      </c>
      <c r="D11">
        <v>23</v>
      </c>
      <c r="E11">
        <v>136</v>
      </c>
    </row>
    <row r="12" spans="1:11" x14ac:dyDescent="0.25">
      <c r="A12">
        <v>1</v>
      </c>
      <c r="B12" s="22" t="s">
        <v>1557</v>
      </c>
      <c r="C12" s="31" t="s">
        <v>60</v>
      </c>
      <c r="D12">
        <v>11</v>
      </c>
      <c r="E12">
        <v>16</v>
      </c>
    </row>
    <row r="13" spans="1:11" x14ac:dyDescent="0.25">
      <c r="A13">
        <v>1</v>
      </c>
      <c r="B13" s="18" t="s">
        <v>1557</v>
      </c>
      <c r="C13" s="31" t="s">
        <v>60</v>
      </c>
      <c r="D13">
        <v>9</v>
      </c>
      <c r="E13">
        <v>24</v>
      </c>
    </row>
    <row r="14" spans="1:11" x14ac:dyDescent="0.25">
      <c r="A14">
        <v>2</v>
      </c>
      <c r="B14" s="18" t="s">
        <v>1557</v>
      </c>
      <c r="C14" s="31" t="s">
        <v>383</v>
      </c>
      <c r="D14">
        <v>14</v>
      </c>
      <c r="E14">
        <v>30</v>
      </c>
    </row>
    <row r="15" spans="1:11" x14ac:dyDescent="0.25">
      <c r="A15">
        <v>2</v>
      </c>
      <c r="B15" s="22" t="s">
        <v>1557</v>
      </c>
      <c r="C15" s="31" t="s">
        <v>383</v>
      </c>
    </row>
    <row r="16" spans="1:11" x14ac:dyDescent="0.25">
      <c r="A16">
        <v>2</v>
      </c>
      <c r="B16" s="18" t="s">
        <v>1557</v>
      </c>
      <c r="C16" s="31" t="s">
        <v>383</v>
      </c>
      <c r="D16">
        <v>15</v>
      </c>
      <c r="E16">
        <v>30</v>
      </c>
    </row>
    <row r="17" spans="1:5" x14ac:dyDescent="0.25">
      <c r="A17">
        <v>2</v>
      </c>
      <c r="B17" s="18" t="s">
        <v>1557</v>
      </c>
      <c r="C17" s="31" t="s">
        <v>382</v>
      </c>
      <c r="D17">
        <v>11</v>
      </c>
      <c r="E17">
        <v>14</v>
      </c>
    </row>
    <row r="18" spans="1:5" x14ac:dyDescent="0.25">
      <c r="A18">
        <v>2</v>
      </c>
      <c r="B18" s="22" t="s">
        <v>1557</v>
      </c>
      <c r="C18" s="31" t="s">
        <v>382</v>
      </c>
      <c r="D18">
        <v>16</v>
      </c>
      <c r="E18">
        <v>39</v>
      </c>
    </row>
    <row r="19" spans="1:5" x14ac:dyDescent="0.25">
      <c r="A19">
        <v>2</v>
      </c>
      <c r="B19" s="18" t="s">
        <v>1557</v>
      </c>
      <c r="C19" s="31" t="s">
        <v>383</v>
      </c>
      <c r="D19">
        <v>12</v>
      </c>
      <c r="E19">
        <v>36</v>
      </c>
    </row>
    <row r="20" spans="1:5" x14ac:dyDescent="0.25">
      <c r="A20">
        <v>3</v>
      </c>
      <c r="B20" s="55" t="s">
        <v>1557</v>
      </c>
      <c r="C20" s="132" t="s">
        <v>382</v>
      </c>
      <c r="D20">
        <v>15</v>
      </c>
      <c r="E20">
        <v>25</v>
      </c>
    </row>
    <row r="21" spans="1:5" x14ac:dyDescent="0.25">
      <c r="A21">
        <v>3</v>
      </c>
      <c r="B21" s="54" t="s">
        <v>1557</v>
      </c>
      <c r="C21" s="56" t="s">
        <v>382</v>
      </c>
      <c r="D21">
        <v>16</v>
      </c>
      <c r="E21">
        <v>25</v>
      </c>
    </row>
    <row r="22" spans="1:5" x14ac:dyDescent="0.25">
      <c r="A22">
        <v>3</v>
      </c>
      <c r="B22" s="54" t="s">
        <v>1557</v>
      </c>
      <c r="C22" s="56" t="s">
        <v>383</v>
      </c>
      <c r="D22">
        <v>13</v>
      </c>
      <c r="E22">
        <v>19</v>
      </c>
    </row>
    <row r="23" spans="1:5" x14ac:dyDescent="0.25">
      <c r="A23">
        <v>3</v>
      </c>
      <c r="B23" s="54" t="s">
        <v>1557</v>
      </c>
      <c r="C23" s="56" t="s">
        <v>383</v>
      </c>
      <c r="D23">
        <v>12</v>
      </c>
      <c r="E23">
        <v>21</v>
      </c>
    </row>
    <row r="24" spans="1:5" x14ac:dyDescent="0.25">
      <c r="A24">
        <v>3</v>
      </c>
      <c r="B24" s="54" t="s">
        <v>1557</v>
      </c>
      <c r="C24" s="56" t="s">
        <v>382</v>
      </c>
      <c r="D24">
        <v>16</v>
      </c>
      <c r="E24">
        <v>21</v>
      </c>
    </row>
    <row r="25" spans="1:5" x14ac:dyDescent="0.25">
      <c r="A25">
        <v>3</v>
      </c>
      <c r="B25" s="75" t="s">
        <v>1557</v>
      </c>
      <c r="C25" s="57" t="s">
        <v>383</v>
      </c>
      <c r="D25">
        <v>12</v>
      </c>
      <c r="E25">
        <v>18</v>
      </c>
    </row>
    <row r="26" spans="1:5" x14ac:dyDescent="0.25">
      <c r="A26">
        <v>1</v>
      </c>
      <c r="B26" s="3" t="s">
        <v>1558</v>
      </c>
      <c r="C26" s="28" t="s">
        <v>60</v>
      </c>
      <c r="D26">
        <v>9</v>
      </c>
      <c r="E26">
        <v>19</v>
      </c>
    </row>
    <row r="27" spans="1:5" x14ac:dyDescent="0.25">
      <c r="A27">
        <v>1</v>
      </c>
      <c r="B27" s="3" t="s">
        <v>1558</v>
      </c>
      <c r="C27" s="28" t="s">
        <v>49</v>
      </c>
      <c r="D27">
        <v>15</v>
      </c>
      <c r="E27">
        <v>22</v>
      </c>
    </row>
    <row r="28" spans="1:5" x14ac:dyDescent="0.25">
      <c r="A28">
        <v>2</v>
      </c>
      <c r="B28" s="3" t="s">
        <v>1558</v>
      </c>
      <c r="C28" s="28" t="s">
        <v>383</v>
      </c>
      <c r="D28">
        <v>14</v>
      </c>
      <c r="E28">
        <v>36</v>
      </c>
    </row>
    <row r="29" spans="1:5" x14ac:dyDescent="0.25">
      <c r="A29">
        <v>2</v>
      </c>
      <c r="B29" s="3" t="s">
        <v>1558</v>
      </c>
      <c r="C29" s="28" t="s">
        <v>383</v>
      </c>
      <c r="D29">
        <v>12</v>
      </c>
      <c r="E29">
        <v>35</v>
      </c>
    </row>
    <row r="30" spans="1:5" x14ac:dyDescent="0.25">
      <c r="A30">
        <v>2</v>
      </c>
      <c r="B30" s="3" t="s">
        <v>1558</v>
      </c>
      <c r="C30" s="28" t="s">
        <v>382</v>
      </c>
      <c r="D30">
        <v>18</v>
      </c>
      <c r="E30">
        <v>24</v>
      </c>
    </row>
    <row r="31" spans="1:5" x14ac:dyDescent="0.25">
      <c r="A31">
        <v>3</v>
      </c>
      <c r="B31" s="75" t="s">
        <v>1558</v>
      </c>
      <c r="C31" s="58" t="s">
        <v>382</v>
      </c>
      <c r="D31">
        <v>16</v>
      </c>
      <c r="E31">
        <v>22</v>
      </c>
    </row>
    <row r="32" spans="1:5" x14ac:dyDescent="0.25">
      <c r="A32">
        <v>3</v>
      </c>
      <c r="B32" s="54" t="s">
        <v>1558</v>
      </c>
      <c r="C32" s="56" t="s">
        <v>383</v>
      </c>
    </row>
    <row r="33" spans="1:5" x14ac:dyDescent="0.25">
      <c r="A33">
        <v>3</v>
      </c>
      <c r="B33" s="75" t="s">
        <v>1558</v>
      </c>
      <c r="C33" s="58" t="s">
        <v>383</v>
      </c>
      <c r="D33">
        <v>14</v>
      </c>
      <c r="E33">
        <v>27</v>
      </c>
    </row>
    <row r="34" spans="1:5" x14ac:dyDescent="0.25">
      <c r="A34">
        <v>3</v>
      </c>
      <c r="B34" s="75" t="s">
        <v>1558</v>
      </c>
      <c r="C34" s="58" t="s">
        <v>382</v>
      </c>
      <c r="D34">
        <v>38</v>
      </c>
      <c r="E34">
        <v>60</v>
      </c>
    </row>
    <row r="35" spans="1:5" x14ac:dyDescent="0.25">
      <c r="A35">
        <v>1</v>
      </c>
      <c r="B35" s="25" t="s">
        <v>1559</v>
      </c>
      <c r="C35" s="32" t="s">
        <v>49</v>
      </c>
      <c r="D35">
        <v>10</v>
      </c>
      <c r="E35">
        <v>18</v>
      </c>
    </row>
    <row r="36" spans="1:5" x14ac:dyDescent="0.25">
      <c r="A36" s="50">
        <v>1</v>
      </c>
      <c r="B36" s="49" t="s">
        <v>1559</v>
      </c>
      <c r="C36" s="63" t="s">
        <v>49</v>
      </c>
    </row>
    <row r="37" spans="1:5" x14ac:dyDescent="0.25">
      <c r="A37">
        <v>1</v>
      </c>
      <c r="B37" s="25" t="s">
        <v>1559</v>
      </c>
      <c r="C37" s="32" t="s">
        <v>60</v>
      </c>
      <c r="D37">
        <v>11</v>
      </c>
      <c r="E37">
        <v>17</v>
      </c>
    </row>
    <row r="38" spans="1:5" x14ac:dyDescent="0.25">
      <c r="A38">
        <v>1</v>
      </c>
      <c r="B38" s="25" t="s">
        <v>1559</v>
      </c>
      <c r="C38" s="32" t="s">
        <v>49</v>
      </c>
      <c r="D38">
        <v>13</v>
      </c>
      <c r="E38">
        <v>64</v>
      </c>
    </row>
    <row r="39" spans="1:5" x14ac:dyDescent="0.25">
      <c r="A39">
        <v>1</v>
      </c>
      <c r="B39" s="25" t="s">
        <v>1559</v>
      </c>
      <c r="C39" s="32" t="s">
        <v>60</v>
      </c>
      <c r="D39">
        <v>11</v>
      </c>
      <c r="E39">
        <v>15</v>
      </c>
    </row>
    <row r="40" spans="1:5" x14ac:dyDescent="0.25">
      <c r="A40">
        <v>2</v>
      </c>
      <c r="B40" s="25" t="s">
        <v>1559</v>
      </c>
      <c r="C40" s="32" t="s">
        <v>382</v>
      </c>
      <c r="D40">
        <v>10</v>
      </c>
      <c r="E40">
        <v>36</v>
      </c>
    </row>
    <row r="41" spans="1:5" x14ac:dyDescent="0.25">
      <c r="A41">
        <v>2</v>
      </c>
      <c r="B41" s="25" t="s">
        <v>1559</v>
      </c>
      <c r="C41" s="32" t="s">
        <v>382</v>
      </c>
      <c r="D41">
        <v>11</v>
      </c>
      <c r="E41">
        <v>46</v>
      </c>
    </row>
    <row r="42" spans="1:5" x14ac:dyDescent="0.25">
      <c r="A42">
        <v>2</v>
      </c>
      <c r="B42" s="25" t="s">
        <v>1559</v>
      </c>
      <c r="C42" s="32" t="s">
        <v>383</v>
      </c>
      <c r="D42">
        <v>9</v>
      </c>
      <c r="E42">
        <v>19</v>
      </c>
    </row>
    <row r="43" spans="1:5" x14ac:dyDescent="0.25">
      <c r="A43">
        <v>2</v>
      </c>
      <c r="B43" s="25" t="s">
        <v>1559</v>
      </c>
      <c r="C43" s="32" t="s">
        <v>383</v>
      </c>
      <c r="D43">
        <v>11</v>
      </c>
      <c r="E43">
        <v>20</v>
      </c>
    </row>
    <row r="44" spans="1:5" x14ac:dyDescent="0.25">
      <c r="A44">
        <v>2</v>
      </c>
      <c r="B44" s="25" t="s">
        <v>1559</v>
      </c>
      <c r="C44" s="32" t="s">
        <v>383</v>
      </c>
      <c r="D44">
        <v>9</v>
      </c>
      <c r="E44">
        <v>81</v>
      </c>
    </row>
    <row r="45" spans="1:5" x14ac:dyDescent="0.25">
      <c r="A45">
        <v>2</v>
      </c>
      <c r="B45" s="25" t="s">
        <v>1559</v>
      </c>
      <c r="C45" s="32" t="s">
        <v>383</v>
      </c>
      <c r="D45">
        <v>11</v>
      </c>
      <c r="E45">
        <v>20</v>
      </c>
    </row>
    <row r="46" spans="1:5" x14ac:dyDescent="0.25">
      <c r="A46">
        <v>2</v>
      </c>
      <c r="B46" s="25" t="s">
        <v>1559</v>
      </c>
      <c r="C46" s="32" t="s">
        <v>383</v>
      </c>
      <c r="D46">
        <v>12</v>
      </c>
      <c r="E46">
        <v>18</v>
      </c>
    </row>
    <row r="47" spans="1:5" x14ac:dyDescent="0.25">
      <c r="A47">
        <v>3</v>
      </c>
      <c r="B47" s="48" t="s">
        <v>1559</v>
      </c>
      <c r="C47" s="26" t="s">
        <v>383</v>
      </c>
      <c r="D47">
        <v>13</v>
      </c>
      <c r="E47">
        <v>14</v>
      </c>
    </row>
    <row r="48" spans="1:5" x14ac:dyDescent="0.25">
      <c r="A48" s="50">
        <v>3</v>
      </c>
      <c r="B48" s="49" t="s">
        <v>1559</v>
      </c>
      <c r="C48" s="50" t="s">
        <v>382</v>
      </c>
      <c r="D48">
        <v>11</v>
      </c>
      <c r="E48">
        <v>28</v>
      </c>
    </row>
    <row r="49" spans="1:5" x14ac:dyDescent="0.25">
      <c r="A49">
        <v>3</v>
      </c>
      <c r="B49" s="49" t="s">
        <v>1559</v>
      </c>
      <c r="C49" s="50" t="s">
        <v>383</v>
      </c>
      <c r="D49">
        <v>9</v>
      </c>
      <c r="E49">
        <v>28</v>
      </c>
    </row>
    <row r="50" spans="1:5" x14ac:dyDescent="0.25">
      <c r="A50">
        <v>3</v>
      </c>
      <c r="B50" s="49" t="s">
        <v>1559</v>
      </c>
      <c r="C50" s="50" t="s">
        <v>382</v>
      </c>
      <c r="D50">
        <v>10</v>
      </c>
      <c r="E50">
        <v>18</v>
      </c>
    </row>
    <row r="51" spans="1:5" x14ac:dyDescent="0.25">
      <c r="A51">
        <v>3</v>
      </c>
      <c r="B51" s="48" t="s">
        <v>1559</v>
      </c>
      <c r="C51" s="26" t="s">
        <v>382</v>
      </c>
      <c r="D51">
        <v>12</v>
      </c>
      <c r="E51">
        <v>24</v>
      </c>
    </row>
    <row r="52" spans="1:5" x14ac:dyDescent="0.25">
      <c r="A52">
        <v>3</v>
      </c>
      <c r="B52" s="48" t="s">
        <v>1559</v>
      </c>
      <c r="C52" s="26" t="s">
        <v>382</v>
      </c>
      <c r="D52">
        <v>13</v>
      </c>
      <c r="E52">
        <v>55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285"/>
  <sheetViews>
    <sheetView topLeftCell="A136" workbookViewId="0">
      <selection activeCell="A234" sqref="A234:G260"/>
    </sheetView>
  </sheetViews>
  <sheetFormatPr defaultRowHeight="15" x14ac:dyDescent="0.25"/>
  <sheetData>
    <row r="1" spans="1:11" ht="30.75" thickBot="1" x14ac:dyDescent="0.3">
      <c r="A1" t="s">
        <v>366</v>
      </c>
      <c r="B1" t="s">
        <v>394</v>
      </c>
      <c r="C1" s="7" t="s">
        <v>0</v>
      </c>
      <c r="D1" s="8" t="s">
        <v>1</v>
      </c>
      <c r="E1" s="8" t="s">
        <v>2</v>
      </c>
      <c r="F1" s="27" t="s">
        <v>367</v>
      </c>
      <c r="G1" s="112" t="s">
        <v>1552</v>
      </c>
      <c r="H1" s="112" t="s">
        <v>1553</v>
      </c>
      <c r="I1" s="112" t="s">
        <v>1554</v>
      </c>
      <c r="J1" s="113" t="s">
        <v>3</v>
      </c>
      <c r="K1" s="112" t="s">
        <v>592</v>
      </c>
    </row>
    <row r="2" spans="1:11" x14ac:dyDescent="0.25">
      <c r="A2" t="str">
        <f t="shared" ref="A2:A17" si="0">C2&amp;D2</f>
        <v>A1</v>
      </c>
      <c r="B2">
        <v>999</v>
      </c>
      <c r="C2" s="24" t="s">
        <v>36</v>
      </c>
      <c r="D2">
        <v>1</v>
      </c>
      <c r="E2" s="16" t="s">
        <v>142</v>
      </c>
      <c r="F2" s="30" t="s">
        <v>60</v>
      </c>
      <c r="G2" s="102"/>
      <c r="H2" s="102"/>
      <c r="I2" s="102"/>
      <c r="J2" s="114">
        <v>3</v>
      </c>
      <c r="K2">
        <f t="shared" ref="K2:K17" si="1">J2</f>
        <v>3</v>
      </c>
    </row>
    <row r="3" spans="1:11" x14ac:dyDescent="0.25">
      <c r="A3" t="str">
        <f t="shared" si="0"/>
        <v>B1</v>
      </c>
      <c r="B3">
        <v>999</v>
      </c>
      <c r="C3" s="6" t="s">
        <v>39</v>
      </c>
      <c r="D3">
        <v>1</v>
      </c>
      <c r="E3" s="18" t="s">
        <v>40</v>
      </c>
      <c r="F3" s="31" t="s">
        <v>49</v>
      </c>
      <c r="G3" s="102">
        <v>95.554000000000002</v>
      </c>
      <c r="H3" s="102">
        <v>190.02</v>
      </c>
      <c r="I3" s="102">
        <v>0</v>
      </c>
      <c r="J3" s="114">
        <v>3</v>
      </c>
      <c r="K3">
        <f t="shared" si="1"/>
        <v>3</v>
      </c>
    </row>
    <row r="4" spans="1:11" x14ac:dyDescent="0.25">
      <c r="A4" t="str">
        <f t="shared" si="0"/>
        <v>C1</v>
      </c>
      <c r="C4" s="25" t="s">
        <v>43</v>
      </c>
      <c r="D4">
        <v>1</v>
      </c>
      <c r="E4" s="17" t="s">
        <v>146</v>
      </c>
      <c r="F4" s="32" t="s">
        <v>49</v>
      </c>
      <c r="G4" s="102">
        <v>201.77</v>
      </c>
      <c r="H4" s="102">
        <v>104.29600000000001</v>
      </c>
      <c r="I4" s="102">
        <v>0</v>
      </c>
      <c r="J4" s="114">
        <v>3</v>
      </c>
      <c r="K4">
        <f t="shared" si="1"/>
        <v>3</v>
      </c>
    </row>
    <row r="5" spans="1:11" x14ac:dyDescent="0.25">
      <c r="A5" t="str">
        <f t="shared" si="0"/>
        <v>D1</v>
      </c>
      <c r="C5" s="25" t="s">
        <v>45</v>
      </c>
      <c r="D5">
        <v>1</v>
      </c>
      <c r="E5" s="17" t="s">
        <v>146</v>
      </c>
      <c r="F5" s="32" t="s">
        <v>49</v>
      </c>
      <c r="J5" s="114">
        <v>3</v>
      </c>
      <c r="K5">
        <f t="shared" si="1"/>
        <v>3</v>
      </c>
    </row>
    <row r="6" spans="1:11" x14ac:dyDescent="0.25">
      <c r="A6" t="str">
        <f t="shared" si="0"/>
        <v>E1</v>
      </c>
      <c r="B6">
        <v>108</v>
      </c>
      <c r="C6" s="25" t="s">
        <v>47</v>
      </c>
      <c r="D6">
        <v>1</v>
      </c>
      <c r="E6" s="17" t="s">
        <v>146</v>
      </c>
      <c r="F6" s="32" t="s">
        <v>60</v>
      </c>
      <c r="G6" s="102">
        <v>0</v>
      </c>
      <c r="H6" s="102">
        <v>78.552999999999997</v>
      </c>
      <c r="I6" s="102">
        <v>24.632000000000001</v>
      </c>
      <c r="J6" s="114">
        <v>3</v>
      </c>
      <c r="K6">
        <f t="shared" si="1"/>
        <v>3</v>
      </c>
    </row>
    <row r="7" spans="1:11" x14ac:dyDescent="0.25">
      <c r="A7" t="str">
        <f t="shared" si="0"/>
        <v>F1</v>
      </c>
      <c r="B7">
        <v>105</v>
      </c>
      <c r="C7" s="6" t="s">
        <v>49</v>
      </c>
      <c r="D7">
        <v>1</v>
      </c>
      <c r="E7" s="22" t="s">
        <v>40</v>
      </c>
      <c r="F7" s="31" t="s">
        <v>49</v>
      </c>
      <c r="G7" s="102">
        <v>194.44399999999999</v>
      </c>
      <c r="H7" s="102">
        <v>74.582999999999998</v>
      </c>
      <c r="I7" s="102">
        <v>50.040999999999997</v>
      </c>
      <c r="J7" s="114">
        <v>3</v>
      </c>
      <c r="K7">
        <f t="shared" si="1"/>
        <v>3</v>
      </c>
    </row>
    <row r="8" spans="1:11" x14ac:dyDescent="0.25">
      <c r="A8" t="str">
        <f t="shared" si="0"/>
        <v>G1</v>
      </c>
      <c r="B8">
        <v>106</v>
      </c>
      <c r="C8" s="25" t="s">
        <v>51</v>
      </c>
      <c r="D8">
        <v>1</v>
      </c>
      <c r="E8" s="17" t="s">
        <v>146</v>
      </c>
      <c r="F8" s="32" t="s">
        <v>49</v>
      </c>
      <c r="G8" s="102">
        <v>24.77</v>
      </c>
      <c r="H8" s="102">
        <v>130.64599999999999</v>
      </c>
      <c r="I8" s="102">
        <v>133.19399999999999</v>
      </c>
      <c r="J8" s="114">
        <v>3</v>
      </c>
      <c r="K8">
        <f t="shared" si="1"/>
        <v>3</v>
      </c>
    </row>
    <row r="9" spans="1:11" x14ac:dyDescent="0.25">
      <c r="A9" t="str">
        <f t="shared" si="0"/>
        <v>H1</v>
      </c>
      <c r="B9">
        <v>111</v>
      </c>
      <c r="C9" s="1" t="s">
        <v>53</v>
      </c>
      <c r="D9">
        <v>1</v>
      </c>
      <c r="E9" s="4" t="s">
        <v>54</v>
      </c>
      <c r="F9" s="33" t="s">
        <v>60</v>
      </c>
      <c r="G9" s="102">
        <v>0</v>
      </c>
      <c r="H9" s="102">
        <v>4.0030000000000001</v>
      </c>
      <c r="I9" s="102">
        <v>110.039</v>
      </c>
      <c r="J9" s="114">
        <v>3</v>
      </c>
      <c r="K9">
        <f t="shared" si="1"/>
        <v>3</v>
      </c>
    </row>
    <row r="10" spans="1:11" x14ac:dyDescent="0.25">
      <c r="A10" t="str">
        <f t="shared" si="0"/>
        <v>I1</v>
      </c>
      <c r="B10">
        <v>107</v>
      </c>
      <c r="C10" s="6" t="s">
        <v>56</v>
      </c>
      <c r="D10">
        <v>1</v>
      </c>
      <c r="E10" s="18" t="s">
        <v>40</v>
      </c>
      <c r="F10" s="31" t="s">
        <v>60</v>
      </c>
      <c r="G10" s="102">
        <v>94.364000000000004</v>
      </c>
      <c r="H10" s="102">
        <v>154.566</v>
      </c>
      <c r="I10" s="102">
        <v>0</v>
      </c>
      <c r="J10" s="114">
        <v>3</v>
      </c>
      <c r="K10">
        <f t="shared" si="1"/>
        <v>3</v>
      </c>
    </row>
    <row r="11" spans="1:11" x14ac:dyDescent="0.25">
      <c r="A11" t="str">
        <f t="shared" si="0"/>
        <v>J1</v>
      </c>
      <c r="C11" s="24" t="s">
        <v>80</v>
      </c>
      <c r="D11">
        <v>1</v>
      </c>
      <c r="E11" s="15" t="s">
        <v>142</v>
      </c>
      <c r="F11" s="30" t="s">
        <v>60</v>
      </c>
      <c r="G11" s="102">
        <v>156.33099999999999</v>
      </c>
      <c r="H11" s="102">
        <v>119.32299999999999</v>
      </c>
      <c r="I11" s="102">
        <v>74.515000000000001</v>
      </c>
      <c r="J11" s="114">
        <v>3</v>
      </c>
      <c r="K11">
        <f t="shared" si="1"/>
        <v>3</v>
      </c>
    </row>
    <row r="12" spans="1:11" x14ac:dyDescent="0.25">
      <c r="A12" t="str">
        <f t="shared" si="0"/>
        <v>K1</v>
      </c>
      <c r="C12" s="2" t="s">
        <v>82</v>
      </c>
      <c r="D12">
        <v>1</v>
      </c>
      <c r="E12" s="23" t="s">
        <v>71</v>
      </c>
      <c r="F12" s="110" t="s">
        <v>60</v>
      </c>
      <c r="G12" s="102">
        <v>0</v>
      </c>
      <c r="H12" s="102">
        <v>9.7859999999999996</v>
      </c>
      <c r="I12" s="102">
        <v>0</v>
      </c>
      <c r="J12" s="114">
        <v>3</v>
      </c>
      <c r="K12">
        <f t="shared" si="1"/>
        <v>3</v>
      </c>
    </row>
    <row r="13" spans="1:11" x14ac:dyDescent="0.25">
      <c r="A13" t="str">
        <f t="shared" si="0"/>
        <v>L1</v>
      </c>
      <c r="B13">
        <v>113</v>
      </c>
      <c r="C13" s="1" t="s">
        <v>58</v>
      </c>
      <c r="D13">
        <v>1</v>
      </c>
      <c r="E13" s="4" t="s">
        <v>54</v>
      </c>
      <c r="F13" s="33" t="s">
        <v>49</v>
      </c>
      <c r="G13" s="102">
        <v>14.266999999999999</v>
      </c>
      <c r="H13" s="102">
        <v>7.069</v>
      </c>
      <c r="I13" s="102">
        <v>0</v>
      </c>
      <c r="J13" s="114">
        <v>3</v>
      </c>
      <c r="K13">
        <f t="shared" si="1"/>
        <v>3</v>
      </c>
    </row>
    <row r="14" spans="1:11" x14ac:dyDescent="0.25">
      <c r="A14" t="str">
        <f t="shared" si="0"/>
        <v>M1</v>
      </c>
      <c r="B14">
        <v>114</v>
      </c>
      <c r="C14" s="24" t="s">
        <v>60</v>
      </c>
      <c r="D14">
        <v>1</v>
      </c>
      <c r="E14" s="15" t="s">
        <v>142</v>
      </c>
      <c r="F14" s="30" t="s">
        <v>49</v>
      </c>
      <c r="G14" s="102">
        <v>102.721</v>
      </c>
      <c r="H14" s="102">
        <v>149.81899999999999</v>
      </c>
      <c r="I14" s="102">
        <v>202.285</v>
      </c>
      <c r="J14" s="114">
        <v>3</v>
      </c>
      <c r="K14">
        <f t="shared" si="1"/>
        <v>3</v>
      </c>
    </row>
    <row r="15" spans="1:11" x14ac:dyDescent="0.25">
      <c r="A15" t="str">
        <f t="shared" si="0"/>
        <v>N1</v>
      </c>
      <c r="C15" s="6" t="s">
        <v>62</v>
      </c>
      <c r="D15">
        <v>1</v>
      </c>
      <c r="E15" s="22" t="s">
        <v>40</v>
      </c>
      <c r="F15" s="31" t="s">
        <v>60</v>
      </c>
      <c r="G15" s="102">
        <v>0</v>
      </c>
      <c r="H15" s="102">
        <v>184.89599999999999</v>
      </c>
      <c r="I15" s="102">
        <v>86.635999999999996</v>
      </c>
      <c r="J15" s="114">
        <v>3</v>
      </c>
      <c r="K15">
        <f t="shared" si="1"/>
        <v>3</v>
      </c>
    </row>
    <row r="16" spans="1:11" x14ac:dyDescent="0.25">
      <c r="A16" t="str">
        <f t="shared" si="0"/>
        <v>O1</v>
      </c>
      <c r="C16" s="25" t="s">
        <v>64</v>
      </c>
      <c r="D16">
        <v>1</v>
      </c>
      <c r="E16" s="17" t="s">
        <v>146</v>
      </c>
      <c r="F16" s="32" t="s">
        <v>60</v>
      </c>
      <c r="G16" s="102">
        <v>57.862000000000002</v>
      </c>
      <c r="H16" s="102">
        <v>130.07599999999999</v>
      </c>
      <c r="I16" s="102">
        <v>0</v>
      </c>
      <c r="J16" s="114">
        <v>3</v>
      </c>
      <c r="K16">
        <f t="shared" si="1"/>
        <v>3</v>
      </c>
    </row>
    <row r="17" spans="1:11" x14ac:dyDescent="0.25">
      <c r="A17" t="str">
        <f t="shared" si="0"/>
        <v>P1</v>
      </c>
      <c r="C17" s="24" t="s">
        <v>66</v>
      </c>
      <c r="D17">
        <v>1</v>
      </c>
      <c r="E17" s="15" t="s">
        <v>142</v>
      </c>
      <c r="F17" s="30" t="s">
        <v>60</v>
      </c>
      <c r="G17" s="102">
        <v>132.16999999999999</v>
      </c>
      <c r="H17" s="102">
        <v>119.592</v>
      </c>
      <c r="I17" s="102">
        <v>197.11699999999999</v>
      </c>
      <c r="J17" s="114">
        <v>3</v>
      </c>
      <c r="K17">
        <f t="shared" si="1"/>
        <v>3</v>
      </c>
    </row>
    <row r="18" spans="1:11" x14ac:dyDescent="0.25">
      <c r="C18" s="24"/>
      <c r="E18" s="16"/>
      <c r="F18" s="30"/>
      <c r="G18" s="102"/>
      <c r="H18" s="102"/>
      <c r="I18" s="102"/>
      <c r="J18" s="114"/>
    </row>
    <row r="19" spans="1:11" x14ac:dyDescent="0.25">
      <c r="A19" t="str">
        <f t="shared" ref="A19:A82" si="2">C19&amp;D19</f>
        <v>R1</v>
      </c>
      <c r="B19">
        <v>104</v>
      </c>
      <c r="C19" s="24" t="s">
        <v>68</v>
      </c>
      <c r="D19">
        <v>1</v>
      </c>
      <c r="E19" s="16" t="s">
        <v>142</v>
      </c>
      <c r="F19" s="30" t="s">
        <v>49</v>
      </c>
      <c r="G19" s="102">
        <v>101.003</v>
      </c>
      <c r="H19" s="102">
        <v>60.338999999999999</v>
      </c>
      <c r="I19" s="102">
        <v>126.877</v>
      </c>
      <c r="J19" s="114">
        <v>3</v>
      </c>
      <c r="K19">
        <f t="shared" ref="K19:K50" si="3">J19</f>
        <v>3</v>
      </c>
    </row>
    <row r="20" spans="1:11" x14ac:dyDescent="0.25">
      <c r="A20" t="str">
        <f t="shared" si="2"/>
        <v>S1</v>
      </c>
      <c r="B20">
        <v>112</v>
      </c>
      <c r="C20" s="2" t="s">
        <v>70</v>
      </c>
      <c r="D20">
        <v>1</v>
      </c>
      <c r="E20" s="3" t="s">
        <v>71</v>
      </c>
      <c r="F20" s="110" t="s">
        <v>49</v>
      </c>
      <c r="G20" s="102">
        <v>56.363999999999997</v>
      </c>
      <c r="H20" s="102">
        <v>7.5</v>
      </c>
      <c r="I20" s="102">
        <v>0</v>
      </c>
      <c r="J20" s="114">
        <v>3</v>
      </c>
      <c r="K20">
        <f t="shared" si="3"/>
        <v>3</v>
      </c>
    </row>
    <row r="21" spans="1:11" x14ac:dyDescent="0.25">
      <c r="A21" t="str">
        <f t="shared" si="2"/>
        <v>A2</v>
      </c>
      <c r="B21">
        <v>117</v>
      </c>
      <c r="C21" s="15" t="s">
        <v>36</v>
      </c>
      <c r="D21">
        <v>2</v>
      </c>
      <c r="E21" s="16" t="s">
        <v>142</v>
      </c>
      <c r="F21" s="122" t="s">
        <v>383</v>
      </c>
      <c r="G21" s="102">
        <v>114.488</v>
      </c>
      <c r="H21" s="102">
        <v>116.884</v>
      </c>
      <c r="I21" s="102">
        <v>211.577</v>
      </c>
      <c r="J21" s="114">
        <v>3</v>
      </c>
      <c r="K21">
        <f t="shared" si="3"/>
        <v>3</v>
      </c>
    </row>
    <row r="22" spans="1:11" x14ac:dyDescent="0.25">
      <c r="A22" t="str">
        <f t="shared" si="2"/>
        <v>B2</v>
      </c>
      <c r="B22">
        <v>123</v>
      </c>
      <c r="C22" s="15" t="s">
        <v>39</v>
      </c>
      <c r="D22">
        <v>2</v>
      </c>
      <c r="E22" s="15" t="s">
        <v>142</v>
      </c>
      <c r="F22" s="29" t="s">
        <v>382</v>
      </c>
      <c r="G22" s="102">
        <v>196.93299999999999</v>
      </c>
      <c r="H22" s="102">
        <v>61.746000000000002</v>
      </c>
      <c r="I22" s="102">
        <v>86.421999999999997</v>
      </c>
      <c r="J22" s="114">
        <v>3</v>
      </c>
      <c r="K22">
        <f t="shared" si="3"/>
        <v>3</v>
      </c>
    </row>
    <row r="23" spans="1:11" x14ac:dyDescent="0.25">
      <c r="A23" t="str">
        <f t="shared" si="2"/>
        <v>C2</v>
      </c>
      <c r="B23">
        <v>126</v>
      </c>
      <c r="C23" s="15" t="s">
        <v>43</v>
      </c>
      <c r="D23">
        <v>2</v>
      </c>
      <c r="E23" s="15" t="s">
        <v>142</v>
      </c>
      <c r="F23" s="29" t="s">
        <v>382</v>
      </c>
      <c r="J23" s="114">
        <v>3</v>
      </c>
      <c r="K23">
        <f t="shared" si="3"/>
        <v>3</v>
      </c>
    </row>
    <row r="24" spans="1:11" x14ac:dyDescent="0.25">
      <c r="A24" t="str">
        <f t="shared" si="2"/>
        <v>D2</v>
      </c>
      <c r="B24">
        <v>136</v>
      </c>
      <c r="C24" s="17" t="s">
        <v>45</v>
      </c>
      <c r="D24">
        <v>2</v>
      </c>
      <c r="E24" s="17" t="s">
        <v>146</v>
      </c>
      <c r="F24" s="107" t="s">
        <v>382</v>
      </c>
      <c r="G24" s="102">
        <v>55.573</v>
      </c>
      <c r="H24" s="102">
        <v>86.912999999999997</v>
      </c>
      <c r="I24" s="102">
        <v>40.845999999999997</v>
      </c>
      <c r="J24" s="114">
        <v>3</v>
      </c>
      <c r="K24">
        <f t="shared" si="3"/>
        <v>3</v>
      </c>
    </row>
    <row r="25" spans="1:11" x14ac:dyDescent="0.25">
      <c r="A25" t="str">
        <f t="shared" si="2"/>
        <v>E2</v>
      </c>
      <c r="B25">
        <v>133</v>
      </c>
      <c r="C25" s="17" t="s">
        <v>47</v>
      </c>
      <c r="D25">
        <v>2</v>
      </c>
      <c r="E25" s="17" t="s">
        <v>146</v>
      </c>
      <c r="F25" s="107" t="s">
        <v>382</v>
      </c>
      <c r="G25" s="102">
        <v>119.438</v>
      </c>
      <c r="H25" s="102">
        <v>81.709000000000003</v>
      </c>
      <c r="I25" s="102">
        <v>31.506</v>
      </c>
      <c r="J25" s="114">
        <v>3</v>
      </c>
      <c r="K25">
        <f t="shared" si="3"/>
        <v>3</v>
      </c>
    </row>
    <row r="26" spans="1:11" x14ac:dyDescent="0.25">
      <c r="A26" t="str">
        <f t="shared" si="2"/>
        <v>F2</v>
      </c>
      <c r="B26">
        <v>119</v>
      </c>
      <c r="C26" s="18" t="s">
        <v>49</v>
      </c>
      <c r="D26">
        <v>2</v>
      </c>
      <c r="E26" s="18" t="s">
        <v>40</v>
      </c>
      <c r="F26" s="108" t="s">
        <v>383</v>
      </c>
      <c r="G26" s="102">
        <v>148.661</v>
      </c>
      <c r="H26" s="102">
        <v>102.81</v>
      </c>
      <c r="I26" s="102">
        <v>170.67500000000001</v>
      </c>
      <c r="J26" s="114">
        <v>3</v>
      </c>
      <c r="K26">
        <f t="shared" si="3"/>
        <v>3</v>
      </c>
    </row>
    <row r="27" spans="1:11" x14ac:dyDescent="0.25">
      <c r="A27" t="str">
        <f t="shared" si="2"/>
        <v>G2</v>
      </c>
      <c r="B27">
        <v>135</v>
      </c>
      <c r="C27" s="4" t="s">
        <v>51</v>
      </c>
      <c r="D27">
        <v>2</v>
      </c>
      <c r="E27" s="4" t="s">
        <v>54</v>
      </c>
      <c r="F27" s="109" t="s">
        <v>382</v>
      </c>
      <c r="G27" s="102">
        <v>26.597999999999999</v>
      </c>
      <c r="H27" s="102">
        <v>14.787000000000001</v>
      </c>
      <c r="I27" s="102">
        <v>20.940999999999999</v>
      </c>
      <c r="J27" s="114">
        <v>3</v>
      </c>
      <c r="K27">
        <f t="shared" si="3"/>
        <v>3</v>
      </c>
    </row>
    <row r="28" spans="1:11" x14ac:dyDescent="0.25">
      <c r="A28" t="str">
        <f t="shared" si="2"/>
        <v>H2</v>
      </c>
      <c r="B28">
        <v>999</v>
      </c>
      <c r="C28" s="18" t="s">
        <v>53</v>
      </c>
      <c r="D28">
        <v>2</v>
      </c>
      <c r="E28" s="18" t="s">
        <v>40</v>
      </c>
      <c r="F28" s="108" t="s">
        <v>383</v>
      </c>
      <c r="G28" s="102"/>
      <c r="H28" s="102"/>
      <c r="I28" s="102"/>
      <c r="J28" s="114">
        <v>3</v>
      </c>
      <c r="K28">
        <f t="shared" si="3"/>
        <v>3</v>
      </c>
    </row>
    <row r="29" spans="1:11" x14ac:dyDescent="0.25">
      <c r="A29" t="str">
        <f t="shared" si="2"/>
        <v>I2</v>
      </c>
      <c r="B29">
        <v>132</v>
      </c>
      <c r="C29" s="4" t="s">
        <v>56</v>
      </c>
      <c r="D29">
        <v>2</v>
      </c>
      <c r="E29" s="4" t="s">
        <v>54</v>
      </c>
      <c r="F29" s="109" t="s">
        <v>383</v>
      </c>
      <c r="G29" s="102">
        <v>0</v>
      </c>
      <c r="H29" s="102">
        <v>13.651</v>
      </c>
      <c r="I29" s="102">
        <v>32.311999999999998</v>
      </c>
      <c r="J29" s="114">
        <v>3</v>
      </c>
      <c r="K29">
        <f t="shared" si="3"/>
        <v>3</v>
      </c>
    </row>
    <row r="30" spans="1:11" x14ac:dyDescent="0.25">
      <c r="A30" t="str">
        <f t="shared" si="2"/>
        <v>J2</v>
      </c>
      <c r="B30">
        <v>128</v>
      </c>
      <c r="C30" s="15" t="s">
        <v>80</v>
      </c>
      <c r="D30">
        <v>2</v>
      </c>
      <c r="E30" s="15" t="s">
        <v>142</v>
      </c>
      <c r="F30" s="29" t="s">
        <v>382</v>
      </c>
      <c r="G30" s="102">
        <v>263.33699999999999</v>
      </c>
      <c r="H30" s="102">
        <v>71.795000000000002</v>
      </c>
      <c r="I30" s="102">
        <v>119.29900000000001</v>
      </c>
      <c r="J30" s="114">
        <v>3</v>
      </c>
      <c r="K30">
        <f t="shared" si="3"/>
        <v>3</v>
      </c>
    </row>
    <row r="31" spans="1:11" x14ac:dyDescent="0.25">
      <c r="A31" t="str">
        <f t="shared" si="2"/>
        <v>K2</v>
      </c>
      <c r="B31">
        <v>141</v>
      </c>
      <c r="C31" s="17" t="s">
        <v>82</v>
      </c>
      <c r="D31">
        <v>2</v>
      </c>
      <c r="E31" s="17" t="s">
        <v>146</v>
      </c>
      <c r="F31" s="107" t="s">
        <v>383</v>
      </c>
      <c r="G31" s="102">
        <v>161.58799999999999</v>
      </c>
      <c r="H31" s="102">
        <v>77.983999999999995</v>
      </c>
      <c r="I31" s="102">
        <v>62.469000000000001</v>
      </c>
      <c r="J31" s="114">
        <v>3</v>
      </c>
      <c r="K31">
        <f t="shared" si="3"/>
        <v>3</v>
      </c>
    </row>
    <row r="32" spans="1:11" x14ac:dyDescent="0.25">
      <c r="A32" t="str">
        <f t="shared" si="2"/>
        <v>L2</v>
      </c>
      <c r="B32">
        <v>131</v>
      </c>
      <c r="C32" s="3" t="s">
        <v>58</v>
      </c>
      <c r="D32">
        <v>2</v>
      </c>
      <c r="E32" s="3" t="s">
        <v>71</v>
      </c>
      <c r="F32" s="28" t="s">
        <v>383</v>
      </c>
      <c r="G32" s="102">
        <v>0</v>
      </c>
      <c r="H32" s="102">
        <v>10.138</v>
      </c>
      <c r="I32" s="102">
        <v>47.823</v>
      </c>
      <c r="J32" s="114">
        <v>3</v>
      </c>
      <c r="K32">
        <f t="shared" si="3"/>
        <v>3</v>
      </c>
    </row>
    <row r="33" spans="1:11" x14ac:dyDescent="0.25">
      <c r="A33" t="str">
        <f t="shared" si="2"/>
        <v>M2</v>
      </c>
      <c r="B33">
        <v>140</v>
      </c>
      <c r="C33" s="15" t="s">
        <v>60</v>
      </c>
      <c r="D33">
        <v>2</v>
      </c>
      <c r="E33" s="15" t="s">
        <v>142</v>
      </c>
      <c r="F33" s="29" t="s">
        <v>383</v>
      </c>
      <c r="G33" s="102">
        <v>95.024000000000001</v>
      </c>
      <c r="H33" s="102">
        <v>75.736999999999995</v>
      </c>
      <c r="I33" s="102">
        <v>70.376000000000005</v>
      </c>
      <c r="J33" s="114">
        <v>3</v>
      </c>
      <c r="K33">
        <f t="shared" si="3"/>
        <v>3</v>
      </c>
    </row>
    <row r="34" spans="1:11" x14ac:dyDescent="0.25">
      <c r="A34" t="str">
        <f t="shared" si="2"/>
        <v>N2</v>
      </c>
      <c r="B34">
        <v>115</v>
      </c>
      <c r="C34" s="18" t="s">
        <v>62</v>
      </c>
      <c r="D34">
        <v>2</v>
      </c>
      <c r="E34" s="18" t="s">
        <v>40</v>
      </c>
      <c r="F34" s="108" t="s">
        <v>383</v>
      </c>
      <c r="G34" s="102">
        <v>144.852</v>
      </c>
      <c r="H34" s="102">
        <v>150.79499999999999</v>
      </c>
      <c r="I34" s="102">
        <v>159.185</v>
      </c>
      <c r="J34" s="114">
        <v>3</v>
      </c>
      <c r="K34">
        <f t="shared" si="3"/>
        <v>3</v>
      </c>
    </row>
    <row r="35" spans="1:11" x14ac:dyDescent="0.25">
      <c r="A35" t="str">
        <f t="shared" si="2"/>
        <v>O2</v>
      </c>
      <c r="B35">
        <v>134</v>
      </c>
      <c r="C35" s="3" t="s">
        <v>64</v>
      </c>
      <c r="D35">
        <v>2</v>
      </c>
      <c r="E35" s="3" t="s">
        <v>71</v>
      </c>
      <c r="F35" s="28" t="s">
        <v>383</v>
      </c>
      <c r="G35" s="102">
        <v>0</v>
      </c>
      <c r="H35" s="102">
        <v>6.218</v>
      </c>
      <c r="I35" s="102">
        <v>48.656999999999996</v>
      </c>
      <c r="J35" s="114">
        <v>3</v>
      </c>
      <c r="K35">
        <f t="shared" si="3"/>
        <v>3</v>
      </c>
    </row>
    <row r="36" spans="1:11" x14ac:dyDescent="0.25">
      <c r="A36" t="str">
        <f t="shared" si="2"/>
        <v>P2</v>
      </c>
      <c r="B36">
        <v>129</v>
      </c>
      <c r="C36" s="15" t="s">
        <v>66</v>
      </c>
      <c r="D36">
        <v>2</v>
      </c>
      <c r="E36" s="15" t="s">
        <v>142</v>
      </c>
      <c r="F36" s="29" t="s">
        <v>382</v>
      </c>
      <c r="G36" s="102">
        <v>54.505000000000003</v>
      </c>
      <c r="H36" s="102">
        <v>62.765000000000001</v>
      </c>
      <c r="I36" s="102">
        <v>68.650999999999996</v>
      </c>
      <c r="J36" s="114">
        <v>3</v>
      </c>
      <c r="K36">
        <f t="shared" si="3"/>
        <v>3</v>
      </c>
    </row>
    <row r="37" spans="1:11" x14ac:dyDescent="0.25">
      <c r="A37" t="str">
        <f t="shared" si="2"/>
        <v>Q2</v>
      </c>
      <c r="B37">
        <v>124</v>
      </c>
      <c r="C37" s="18" t="s">
        <v>385</v>
      </c>
      <c r="D37">
        <v>2</v>
      </c>
      <c r="E37" s="18" t="s">
        <v>40</v>
      </c>
      <c r="F37" s="108" t="s">
        <v>382</v>
      </c>
      <c r="G37" s="102">
        <v>46.655000000000001</v>
      </c>
      <c r="H37" s="102">
        <v>59.131</v>
      </c>
      <c r="I37" s="102">
        <v>15.887</v>
      </c>
      <c r="J37" s="114">
        <v>3</v>
      </c>
      <c r="K37">
        <f t="shared" si="3"/>
        <v>3</v>
      </c>
    </row>
    <row r="38" spans="1:11" x14ac:dyDescent="0.25">
      <c r="A38" t="str">
        <f t="shared" si="2"/>
        <v>R2</v>
      </c>
      <c r="B38">
        <v>118</v>
      </c>
      <c r="C38" s="18" t="s">
        <v>68</v>
      </c>
      <c r="D38">
        <v>2</v>
      </c>
      <c r="E38" s="18" t="s">
        <v>40</v>
      </c>
      <c r="F38" s="108" t="s">
        <v>382</v>
      </c>
      <c r="G38" s="102">
        <v>33.713999999999999</v>
      </c>
      <c r="H38" s="102">
        <v>99.174999999999997</v>
      </c>
      <c r="I38" s="102">
        <v>20.433</v>
      </c>
      <c r="J38" s="114">
        <v>3</v>
      </c>
      <c r="K38">
        <f t="shared" si="3"/>
        <v>3</v>
      </c>
    </row>
    <row r="39" spans="1:11" x14ac:dyDescent="0.25">
      <c r="A39" t="str">
        <f t="shared" si="2"/>
        <v>S2</v>
      </c>
      <c r="B39">
        <v>125</v>
      </c>
      <c r="C39" s="15" t="s">
        <v>70</v>
      </c>
      <c r="D39">
        <v>2</v>
      </c>
      <c r="E39" s="15" t="s">
        <v>142</v>
      </c>
      <c r="F39" s="29" t="s">
        <v>383</v>
      </c>
      <c r="G39" s="102">
        <v>98.644999999999996</v>
      </c>
      <c r="H39" s="102">
        <v>106.239</v>
      </c>
      <c r="I39" s="102">
        <v>96.412999999999997</v>
      </c>
      <c r="J39" s="114">
        <v>3</v>
      </c>
      <c r="K39">
        <f t="shared" si="3"/>
        <v>3</v>
      </c>
    </row>
    <row r="40" spans="1:11" x14ac:dyDescent="0.25">
      <c r="A40" t="str">
        <f t="shared" si="2"/>
        <v>T2</v>
      </c>
      <c r="B40">
        <v>138</v>
      </c>
      <c r="C40" s="4" t="s">
        <v>386</v>
      </c>
      <c r="D40">
        <v>2</v>
      </c>
      <c r="E40" s="4" t="s">
        <v>54</v>
      </c>
      <c r="F40" s="109" t="s">
        <v>383</v>
      </c>
      <c r="G40" s="102">
        <v>0</v>
      </c>
      <c r="H40" s="102">
        <v>37.712000000000003</v>
      </c>
      <c r="I40" s="102">
        <v>76.456999999999994</v>
      </c>
      <c r="J40" s="114">
        <v>3</v>
      </c>
      <c r="K40">
        <f t="shared" si="3"/>
        <v>3</v>
      </c>
    </row>
    <row r="41" spans="1:11" x14ac:dyDescent="0.25">
      <c r="A41" t="str">
        <f t="shared" si="2"/>
        <v>U2</v>
      </c>
      <c r="B41">
        <v>121</v>
      </c>
      <c r="C41" s="17" t="s">
        <v>388</v>
      </c>
      <c r="D41">
        <v>2</v>
      </c>
      <c r="E41" s="17" t="s">
        <v>146</v>
      </c>
      <c r="F41" s="107" t="s">
        <v>383</v>
      </c>
      <c r="G41" s="102">
        <v>79.977999999999994</v>
      </c>
      <c r="H41" s="102">
        <v>67.042000000000002</v>
      </c>
      <c r="I41" s="102">
        <v>117.56399999999999</v>
      </c>
      <c r="J41" s="114">
        <v>3</v>
      </c>
      <c r="K41">
        <f t="shared" si="3"/>
        <v>3</v>
      </c>
    </row>
    <row r="42" spans="1:11" x14ac:dyDescent="0.25">
      <c r="A42" t="str">
        <f t="shared" si="2"/>
        <v>V2</v>
      </c>
      <c r="B42">
        <v>127</v>
      </c>
      <c r="C42" s="17" t="s">
        <v>389</v>
      </c>
      <c r="D42">
        <v>2</v>
      </c>
      <c r="E42" s="17" t="s">
        <v>146</v>
      </c>
      <c r="F42" s="107" t="s">
        <v>383</v>
      </c>
      <c r="G42" s="102">
        <v>101.97</v>
      </c>
      <c r="H42" s="102">
        <v>54.067999999999998</v>
      </c>
      <c r="I42" s="102">
        <v>65.400999999999996</v>
      </c>
      <c r="J42" s="114">
        <v>3</v>
      </c>
      <c r="K42">
        <f t="shared" si="3"/>
        <v>3</v>
      </c>
    </row>
    <row r="43" spans="1:11" x14ac:dyDescent="0.25">
      <c r="A43" t="str">
        <f t="shared" si="2"/>
        <v>X2</v>
      </c>
      <c r="B43">
        <v>139</v>
      </c>
      <c r="C43" s="17" t="s">
        <v>390</v>
      </c>
      <c r="D43">
        <v>2</v>
      </c>
      <c r="E43" s="17" t="s">
        <v>146</v>
      </c>
      <c r="F43" s="107" t="s">
        <v>383</v>
      </c>
      <c r="G43" s="102">
        <v>87.888999999999996</v>
      </c>
      <c r="H43" s="102">
        <v>93.254000000000005</v>
      </c>
      <c r="I43" s="102">
        <v>70.188999999999993</v>
      </c>
      <c r="J43" s="114">
        <v>3</v>
      </c>
      <c r="K43">
        <f t="shared" si="3"/>
        <v>3</v>
      </c>
    </row>
    <row r="44" spans="1:11" x14ac:dyDescent="0.25">
      <c r="A44" t="str">
        <f t="shared" si="2"/>
        <v>Y2</v>
      </c>
      <c r="B44">
        <v>122</v>
      </c>
      <c r="C44" s="18" t="s">
        <v>384</v>
      </c>
      <c r="D44">
        <v>2</v>
      </c>
      <c r="E44" s="18" t="s">
        <v>40</v>
      </c>
      <c r="F44" s="108" t="s">
        <v>383</v>
      </c>
      <c r="G44" s="102">
        <v>38.631</v>
      </c>
      <c r="H44" s="102">
        <v>161.69</v>
      </c>
      <c r="I44" s="102">
        <v>22.437999999999999</v>
      </c>
      <c r="J44" s="114">
        <v>3</v>
      </c>
      <c r="K44">
        <f t="shared" si="3"/>
        <v>3</v>
      </c>
    </row>
    <row r="45" spans="1:11" x14ac:dyDescent="0.25">
      <c r="A45" t="str">
        <f t="shared" si="2"/>
        <v>Z2</v>
      </c>
      <c r="B45">
        <v>116</v>
      </c>
      <c r="C45" s="15" t="s">
        <v>387</v>
      </c>
      <c r="D45">
        <v>2</v>
      </c>
      <c r="E45" s="15" t="s">
        <v>142</v>
      </c>
      <c r="F45" s="29" t="s">
        <v>382</v>
      </c>
      <c r="G45" s="102">
        <v>189.68100000000001</v>
      </c>
      <c r="H45" s="102">
        <v>101.47</v>
      </c>
      <c r="I45" s="102">
        <v>113.893</v>
      </c>
      <c r="J45" s="114">
        <v>3</v>
      </c>
      <c r="K45">
        <f t="shared" si="3"/>
        <v>3</v>
      </c>
    </row>
    <row r="46" spans="1:11" x14ac:dyDescent="0.25">
      <c r="A46" t="str">
        <f t="shared" si="2"/>
        <v>Æ2</v>
      </c>
      <c r="B46">
        <v>120</v>
      </c>
      <c r="C46" s="15" t="s">
        <v>202</v>
      </c>
      <c r="D46">
        <v>2</v>
      </c>
      <c r="E46" s="15" t="s">
        <v>142</v>
      </c>
      <c r="F46" s="29" t="s">
        <v>383</v>
      </c>
      <c r="G46" s="102">
        <v>135.501</v>
      </c>
      <c r="H46" s="102">
        <v>90.156000000000006</v>
      </c>
      <c r="I46" s="102">
        <v>86.906000000000006</v>
      </c>
      <c r="J46" s="114">
        <v>3</v>
      </c>
      <c r="K46">
        <f t="shared" si="3"/>
        <v>3</v>
      </c>
    </row>
    <row r="47" spans="1:11" x14ac:dyDescent="0.25">
      <c r="A47" t="str">
        <f t="shared" si="2"/>
        <v>Ø2</v>
      </c>
      <c r="B47">
        <v>137</v>
      </c>
      <c r="C47" s="3" t="s">
        <v>175</v>
      </c>
      <c r="D47">
        <v>2</v>
      </c>
      <c r="E47" s="3" t="s">
        <v>71</v>
      </c>
      <c r="F47" s="28" t="s">
        <v>382</v>
      </c>
      <c r="G47" s="102">
        <v>0</v>
      </c>
      <c r="H47" s="102">
        <v>12.333</v>
      </c>
      <c r="I47" s="102">
        <v>111.124</v>
      </c>
      <c r="J47" s="114">
        <v>3</v>
      </c>
      <c r="K47">
        <f t="shared" si="3"/>
        <v>3</v>
      </c>
    </row>
    <row r="48" spans="1:11" x14ac:dyDescent="0.25">
      <c r="A48" t="str">
        <f t="shared" si="2"/>
        <v>Å2</v>
      </c>
      <c r="B48">
        <v>130</v>
      </c>
      <c r="C48" s="17" t="s">
        <v>145</v>
      </c>
      <c r="D48">
        <v>2</v>
      </c>
      <c r="E48" s="17" t="s">
        <v>146</v>
      </c>
      <c r="F48" s="107" t="s">
        <v>383</v>
      </c>
      <c r="G48" s="102">
        <v>153.94300000000001</v>
      </c>
      <c r="H48" s="102">
        <v>30.44</v>
      </c>
      <c r="I48" s="102">
        <v>25.071999999999999</v>
      </c>
      <c r="J48" s="114">
        <v>3</v>
      </c>
      <c r="K48">
        <f t="shared" si="3"/>
        <v>3</v>
      </c>
    </row>
    <row r="49" spans="1:11" x14ac:dyDescent="0.25">
      <c r="A49" t="str">
        <f t="shared" si="2"/>
        <v>A3</v>
      </c>
      <c r="B49">
        <v>150</v>
      </c>
      <c r="C49" s="49" t="s">
        <v>36</v>
      </c>
      <c r="D49">
        <v>3</v>
      </c>
      <c r="E49" s="49" t="s">
        <v>40</v>
      </c>
      <c r="F49" s="50" t="s">
        <v>382</v>
      </c>
      <c r="G49" s="102">
        <v>234.5</v>
      </c>
      <c r="H49" s="102">
        <v>145.4</v>
      </c>
      <c r="I49" s="102">
        <v>50.529000000000003</v>
      </c>
      <c r="J49" s="114">
        <v>3</v>
      </c>
      <c r="K49">
        <f t="shared" si="3"/>
        <v>3</v>
      </c>
    </row>
    <row r="50" spans="1:11" x14ac:dyDescent="0.25">
      <c r="A50" t="str">
        <f t="shared" si="2"/>
        <v>ALPHA3</v>
      </c>
      <c r="B50">
        <v>149</v>
      </c>
      <c r="C50" s="49" t="s">
        <v>586</v>
      </c>
      <c r="D50">
        <v>3</v>
      </c>
      <c r="E50" s="49" t="s">
        <v>142</v>
      </c>
      <c r="F50" s="50" t="s">
        <v>383</v>
      </c>
      <c r="G50" s="102">
        <v>291.07600000000002</v>
      </c>
      <c r="H50" s="102">
        <v>192.685</v>
      </c>
      <c r="I50" s="102">
        <v>145.69200000000001</v>
      </c>
      <c r="J50" s="114">
        <v>3</v>
      </c>
      <c r="K50">
        <f t="shared" si="3"/>
        <v>3</v>
      </c>
    </row>
    <row r="51" spans="1:11" x14ac:dyDescent="0.25">
      <c r="A51" t="str">
        <f t="shared" si="2"/>
        <v>B3</v>
      </c>
      <c r="B51">
        <v>143</v>
      </c>
      <c r="C51" s="49" t="s">
        <v>39</v>
      </c>
      <c r="D51">
        <v>3</v>
      </c>
      <c r="E51" s="49" t="s">
        <v>40</v>
      </c>
      <c r="F51" s="50" t="s">
        <v>382</v>
      </c>
      <c r="G51" s="102">
        <v>71.308999999999997</v>
      </c>
      <c r="H51" s="102">
        <v>285.85899999999998</v>
      </c>
      <c r="I51" s="102">
        <v>40.789000000000001</v>
      </c>
      <c r="J51" s="114">
        <v>3</v>
      </c>
      <c r="K51">
        <f t="shared" ref="K51:K82" si="4">J51</f>
        <v>3</v>
      </c>
    </row>
    <row r="52" spans="1:11" x14ac:dyDescent="0.25">
      <c r="A52" t="str">
        <f t="shared" si="2"/>
        <v>BETA3</v>
      </c>
      <c r="B52">
        <v>153</v>
      </c>
      <c r="C52" s="24" t="s">
        <v>584</v>
      </c>
      <c r="D52">
        <v>3</v>
      </c>
      <c r="E52" s="48" t="s">
        <v>142</v>
      </c>
      <c r="F52" s="36" t="s">
        <v>383</v>
      </c>
      <c r="G52" s="102">
        <v>176.56</v>
      </c>
      <c r="H52" s="102">
        <v>64.257999999999996</v>
      </c>
      <c r="I52" s="102">
        <v>56.600999999999999</v>
      </c>
      <c r="J52" s="114">
        <v>3</v>
      </c>
      <c r="K52">
        <f t="shared" si="4"/>
        <v>3</v>
      </c>
    </row>
    <row r="53" spans="1:11" x14ac:dyDescent="0.25">
      <c r="A53" t="str">
        <f t="shared" si="2"/>
        <v>D3</v>
      </c>
      <c r="B53">
        <v>145</v>
      </c>
      <c r="C53" s="49" t="s">
        <v>45</v>
      </c>
      <c r="D53">
        <v>3</v>
      </c>
      <c r="E53" s="49" t="s">
        <v>40</v>
      </c>
      <c r="F53" s="50" t="s">
        <v>383</v>
      </c>
      <c r="G53" s="102">
        <v>132.53800000000001</v>
      </c>
      <c r="H53" s="102">
        <v>83.754000000000005</v>
      </c>
      <c r="I53" s="102">
        <v>1.075</v>
      </c>
      <c r="J53" s="114">
        <v>3</v>
      </c>
      <c r="K53">
        <f t="shared" si="4"/>
        <v>3</v>
      </c>
    </row>
    <row r="54" spans="1:11" x14ac:dyDescent="0.25">
      <c r="A54" t="str">
        <f t="shared" si="2"/>
        <v>G3</v>
      </c>
      <c r="B54">
        <v>164</v>
      </c>
      <c r="C54" s="106" t="s">
        <v>51</v>
      </c>
      <c r="D54">
        <v>3</v>
      </c>
      <c r="E54" s="48" t="s">
        <v>71</v>
      </c>
      <c r="F54" s="51" t="s">
        <v>382</v>
      </c>
      <c r="G54" s="102">
        <v>26.324999999999999</v>
      </c>
      <c r="H54" s="102">
        <v>0</v>
      </c>
      <c r="I54" s="102">
        <v>31.189</v>
      </c>
      <c r="J54" s="114">
        <v>3</v>
      </c>
      <c r="K54">
        <f t="shared" si="4"/>
        <v>3</v>
      </c>
    </row>
    <row r="55" spans="1:11" x14ac:dyDescent="0.25">
      <c r="A55" t="str">
        <f t="shared" si="2"/>
        <v>GAMMA3</v>
      </c>
      <c r="B55">
        <v>148</v>
      </c>
      <c r="C55" s="49" t="s">
        <v>585</v>
      </c>
      <c r="D55">
        <v>3</v>
      </c>
      <c r="E55" s="49" t="s">
        <v>40</v>
      </c>
      <c r="F55" s="50" t="s">
        <v>383</v>
      </c>
      <c r="G55" s="102">
        <v>116.37</v>
      </c>
      <c r="H55" s="102">
        <v>143.197</v>
      </c>
      <c r="I55" s="102">
        <v>110.452</v>
      </c>
      <c r="J55" s="114">
        <v>3</v>
      </c>
      <c r="K55">
        <f t="shared" si="4"/>
        <v>3</v>
      </c>
    </row>
    <row r="56" spans="1:11" x14ac:dyDescent="0.25">
      <c r="A56" t="str">
        <f t="shared" si="2"/>
        <v>H3</v>
      </c>
      <c r="B56">
        <v>146</v>
      </c>
      <c r="C56" s="49" t="s">
        <v>53</v>
      </c>
      <c r="D56">
        <v>3</v>
      </c>
      <c r="E56" s="49" t="s">
        <v>40</v>
      </c>
      <c r="F56" s="50" t="s">
        <v>382</v>
      </c>
      <c r="G56" s="102">
        <v>183.25700000000001</v>
      </c>
      <c r="H56" s="102">
        <v>236.89699999999999</v>
      </c>
      <c r="I56" s="102">
        <v>83.668000000000006</v>
      </c>
      <c r="J56" s="114">
        <v>3</v>
      </c>
      <c r="K56">
        <f t="shared" si="4"/>
        <v>3</v>
      </c>
    </row>
    <row r="57" spans="1:11" x14ac:dyDescent="0.25">
      <c r="A57" t="str">
        <f t="shared" si="2"/>
        <v>I3</v>
      </c>
      <c r="B57">
        <v>152</v>
      </c>
      <c r="C57" s="49" t="s">
        <v>56</v>
      </c>
      <c r="D57">
        <v>3</v>
      </c>
      <c r="E57" s="49" t="s">
        <v>142</v>
      </c>
      <c r="F57" s="50" t="s">
        <v>382</v>
      </c>
      <c r="G57" s="102">
        <v>292.53500000000003</v>
      </c>
      <c r="H57" s="102">
        <v>72.789000000000001</v>
      </c>
      <c r="I57" s="102">
        <v>87.885000000000005</v>
      </c>
      <c r="J57" s="114">
        <v>3</v>
      </c>
      <c r="K57">
        <f t="shared" si="4"/>
        <v>3</v>
      </c>
    </row>
    <row r="58" spans="1:11" x14ac:dyDescent="0.25">
      <c r="A58" t="str">
        <f t="shared" si="2"/>
        <v>J3</v>
      </c>
      <c r="B58">
        <v>155</v>
      </c>
      <c r="C58" s="6" t="s">
        <v>80</v>
      </c>
      <c r="D58">
        <v>3</v>
      </c>
      <c r="E58" s="48" t="s">
        <v>40</v>
      </c>
      <c r="F58" s="5" t="s">
        <v>383</v>
      </c>
      <c r="G58" s="102">
        <v>450.95600000000002</v>
      </c>
      <c r="H58" s="102">
        <v>88.557000000000002</v>
      </c>
      <c r="I58" s="102">
        <v>21.402000000000001</v>
      </c>
      <c r="J58" s="114">
        <v>3</v>
      </c>
      <c r="K58">
        <f t="shared" si="4"/>
        <v>3</v>
      </c>
    </row>
    <row r="59" spans="1:11" x14ac:dyDescent="0.25">
      <c r="A59" t="str">
        <f t="shared" si="2"/>
        <v>K3</v>
      </c>
      <c r="B59">
        <v>161</v>
      </c>
      <c r="C59" s="52" t="s">
        <v>82</v>
      </c>
      <c r="D59">
        <v>3</v>
      </c>
      <c r="E59" s="48" t="s">
        <v>54</v>
      </c>
      <c r="F59" s="53" t="s">
        <v>382</v>
      </c>
      <c r="G59" s="102">
        <v>0</v>
      </c>
      <c r="H59" s="102">
        <v>0</v>
      </c>
      <c r="I59" s="102">
        <v>20.091999999999999</v>
      </c>
      <c r="J59" s="114">
        <v>3</v>
      </c>
      <c r="K59">
        <f t="shared" si="4"/>
        <v>3</v>
      </c>
    </row>
    <row r="60" spans="1:11" x14ac:dyDescent="0.25">
      <c r="A60" t="str">
        <f t="shared" si="2"/>
        <v>L3</v>
      </c>
      <c r="B60">
        <v>151</v>
      </c>
      <c r="C60" s="49" t="s">
        <v>58</v>
      </c>
      <c r="D60">
        <v>3</v>
      </c>
      <c r="E60" s="49" t="s">
        <v>142</v>
      </c>
      <c r="F60" s="50" t="s">
        <v>383</v>
      </c>
      <c r="G60" s="102">
        <v>116.41800000000001</v>
      </c>
      <c r="H60" s="102">
        <v>397.42700000000002</v>
      </c>
      <c r="I60" s="102">
        <v>206.65799999999999</v>
      </c>
      <c r="J60" s="114">
        <v>3</v>
      </c>
      <c r="K60">
        <f t="shared" si="4"/>
        <v>3</v>
      </c>
    </row>
    <row r="61" spans="1:11" x14ac:dyDescent="0.25">
      <c r="A61" t="str">
        <f t="shared" si="2"/>
        <v>N3</v>
      </c>
      <c r="B61">
        <v>159</v>
      </c>
      <c r="C61" s="25" t="s">
        <v>62</v>
      </c>
      <c r="D61">
        <v>3</v>
      </c>
      <c r="E61" s="48" t="s">
        <v>146</v>
      </c>
      <c r="F61" s="26" t="s">
        <v>383</v>
      </c>
      <c r="G61" s="102">
        <v>167.696</v>
      </c>
      <c r="H61" s="102">
        <v>132.233</v>
      </c>
      <c r="I61" s="102">
        <v>44.337000000000003</v>
      </c>
      <c r="J61" s="114">
        <v>3</v>
      </c>
      <c r="K61">
        <f t="shared" si="4"/>
        <v>3</v>
      </c>
    </row>
    <row r="62" spans="1:11" x14ac:dyDescent="0.25">
      <c r="A62" t="str">
        <f t="shared" si="2"/>
        <v>O3</v>
      </c>
      <c r="B62">
        <v>157</v>
      </c>
      <c r="C62" s="25" t="s">
        <v>64</v>
      </c>
      <c r="D62">
        <v>3</v>
      </c>
      <c r="E62" s="48" t="s">
        <v>146</v>
      </c>
      <c r="F62" s="26" t="s">
        <v>382</v>
      </c>
      <c r="G62" s="102">
        <v>115.38800000000001</v>
      </c>
      <c r="H62" s="102">
        <v>41.145000000000003</v>
      </c>
      <c r="I62" s="102">
        <v>20.361999999999998</v>
      </c>
      <c r="J62" s="114">
        <v>3</v>
      </c>
      <c r="K62">
        <f t="shared" si="4"/>
        <v>3</v>
      </c>
    </row>
    <row r="63" spans="1:11" x14ac:dyDescent="0.25">
      <c r="A63" t="str">
        <f t="shared" si="2"/>
        <v>P3</v>
      </c>
      <c r="C63" s="49" t="s">
        <v>66</v>
      </c>
      <c r="D63">
        <v>3</v>
      </c>
      <c r="E63" s="49" t="s">
        <v>71</v>
      </c>
      <c r="F63" s="50" t="s">
        <v>383</v>
      </c>
      <c r="G63" s="102">
        <v>72.430000000000007</v>
      </c>
      <c r="H63" s="102">
        <v>0</v>
      </c>
      <c r="I63" s="102">
        <v>88.519000000000005</v>
      </c>
      <c r="J63" s="114">
        <v>3</v>
      </c>
      <c r="K63">
        <f t="shared" si="4"/>
        <v>3</v>
      </c>
    </row>
    <row r="64" spans="1:11" x14ac:dyDescent="0.25">
      <c r="A64" t="str">
        <f t="shared" si="2"/>
        <v>Q3</v>
      </c>
      <c r="B64">
        <v>165</v>
      </c>
      <c r="C64" s="52" t="s">
        <v>385</v>
      </c>
      <c r="D64">
        <v>3</v>
      </c>
      <c r="E64" s="48" t="s">
        <v>54</v>
      </c>
      <c r="F64" s="53" t="s">
        <v>383</v>
      </c>
      <c r="G64" s="102">
        <v>0</v>
      </c>
      <c r="H64" s="102">
        <v>0</v>
      </c>
      <c r="I64" s="102">
        <v>1.8220000000000001</v>
      </c>
      <c r="J64" s="114">
        <v>3</v>
      </c>
      <c r="K64">
        <f t="shared" si="4"/>
        <v>3</v>
      </c>
    </row>
    <row r="65" spans="1:11" x14ac:dyDescent="0.25">
      <c r="A65" t="str">
        <f t="shared" si="2"/>
        <v>R3</v>
      </c>
      <c r="B65">
        <v>160</v>
      </c>
      <c r="C65" s="106" t="s">
        <v>68</v>
      </c>
      <c r="D65">
        <v>3</v>
      </c>
      <c r="E65" s="48" t="s">
        <v>71</v>
      </c>
      <c r="F65" s="51" t="s">
        <v>383</v>
      </c>
      <c r="G65" s="102">
        <v>0</v>
      </c>
      <c r="H65" s="102">
        <v>0</v>
      </c>
      <c r="I65" s="102">
        <v>0</v>
      </c>
      <c r="J65" s="114">
        <v>3</v>
      </c>
      <c r="K65">
        <f t="shared" si="4"/>
        <v>3</v>
      </c>
    </row>
    <row r="66" spans="1:11" x14ac:dyDescent="0.25">
      <c r="A66" t="str">
        <f t="shared" si="2"/>
        <v>T3</v>
      </c>
      <c r="B66">
        <v>144</v>
      </c>
      <c r="C66" s="49" t="s">
        <v>386</v>
      </c>
      <c r="D66">
        <v>3</v>
      </c>
      <c r="E66" s="49" t="s">
        <v>146</v>
      </c>
      <c r="F66" s="50" t="s">
        <v>383</v>
      </c>
      <c r="G66" s="102">
        <v>221.68</v>
      </c>
      <c r="H66" s="102">
        <v>129.33500000000001</v>
      </c>
      <c r="I66" s="102">
        <v>130.364</v>
      </c>
      <c r="J66" s="114">
        <v>3</v>
      </c>
      <c r="K66">
        <f t="shared" si="4"/>
        <v>3</v>
      </c>
    </row>
    <row r="67" spans="1:11" x14ac:dyDescent="0.25">
      <c r="A67" t="str">
        <f t="shared" si="2"/>
        <v>U3</v>
      </c>
      <c r="B67">
        <v>142</v>
      </c>
      <c r="C67" s="49" t="s">
        <v>388</v>
      </c>
      <c r="D67">
        <v>3</v>
      </c>
      <c r="E67" s="49" t="s">
        <v>146</v>
      </c>
      <c r="F67" s="50" t="s">
        <v>382</v>
      </c>
      <c r="G67" s="102">
        <v>247.727</v>
      </c>
      <c r="H67" s="102">
        <v>173.518</v>
      </c>
      <c r="I67" s="102">
        <v>77.863</v>
      </c>
      <c r="J67" s="114">
        <v>3</v>
      </c>
      <c r="K67">
        <f t="shared" si="4"/>
        <v>3</v>
      </c>
    </row>
    <row r="68" spans="1:11" x14ac:dyDescent="0.25">
      <c r="A68" t="str">
        <f t="shared" si="2"/>
        <v>V3</v>
      </c>
      <c r="B68">
        <v>158</v>
      </c>
      <c r="C68" s="25" t="s">
        <v>389</v>
      </c>
      <c r="D68">
        <v>3</v>
      </c>
      <c r="E68" s="48" t="s">
        <v>146</v>
      </c>
      <c r="F68" s="26" t="s">
        <v>382</v>
      </c>
      <c r="G68" s="102">
        <v>96.125</v>
      </c>
      <c r="H68" s="102">
        <v>119.91800000000001</v>
      </c>
      <c r="I68" s="102">
        <v>31.385000000000002</v>
      </c>
      <c r="J68" s="114">
        <v>3</v>
      </c>
      <c r="K68">
        <f t="shared" si="4"/>
        <v>3</v>
      </c>
    </row>
    <row r="69" spans="1:11" x14ac:dyDescent="0.25">
      <c r="A69" t="str">
        <f t="shared" si="2"/>
        <v>X3</v>
      </c>
      <c r="B69">
        <v>162</v>
      </c>
      <c r="C69" s="106" t="s">
        <v>390</v>
      </c>
      <c r="D69">
        <v>3</v>
      </c>
      <c r="E69" s="48" t="s">
        <v>71</v>
      </c>
      <c r="F69" s="51" t="s">
        <v>382</v>
      </c>
      <c r="G69" s="102">
        <v>60.859000000000002</v>
      </c>
      <c r="H69" s="102">
        <v>0</v>
      </c>
      <c r="I69" s="102">
        <v>115.625</v>
      </c>
      <c r="J69" s="114">
        <v>3</v>
      </c>
      <c r="K69">
        <f t="shared" si="4"/>
        <v>3</v>
      </c>
    </row>
    <row r="70" spans="1:11" x14ac:dyDescent="0.25">
      <c r="A70" t="str">
        <f t="shared" si="2"/>
        <v>Y3</v>
      </c>
      <c r="B70">
        <v>156</v>
      </c>
      <c r="C70" s="25" t="s">
        <v>384</v>
      </c>
      <c r="D70">
        <v>3</v>
      </c>
      <c r="E70" s="48" t="s">
        <v>146</v>
      </c>
      <c r="F70" s="26" t="s">
        <v>382</v>
      </c>
      <c r="G70" s="102">
        <v>111.77500000000001</v>
      </c>
      <c r="H70" s="102">
        <v>66.122</v>
      </c>
      <c r="I70" s="102">
        <v>56.97</v>
      </c>
      <c r="J70" s="114">
        <v>3</v>
      </c>
      <c r="K70">
        <f t="shared" si="4"/>
        <v>3</v>
      </c>
    </row>
    <row r="71" spans="1:11" x14ac:dyDescent="0.25">
      <c r="A71" t="str">
        <f t="shared" si="2"/>
        <v>Æ3</v>
      </c>
      <c r="B71">
        <v>163</v>
      </c>
      <c r="C71" s="52" t="s">
        <v>202</v>
      </c>
      <c r="D71">
        <v>3</v>
      </c>
      <c r="E71" s="48" t="s">
        <v>54</v>
      </c>
      <c r="F71" s="53" t="s">
        <v>382</v>
      </c>
      <c r="G71" s="102">
        <v>0</v>
      </c>
      <c r="H71" s="102">
        <v>7.3440000000000003</v>
      </c>
      <c r="I71" s="102">
        <v>6.125</v>
      </c>
      <c r="J71" s="114">
        <v>3</v>
      </c>
      <c r="K71">
        <f t="shared" si="4"/>
        <v>3</v>
      </c>
    </row>
    <row r="72" spans="1:11" x14ac:dyDescent="0.25">
      <c r="A72" t="str">
        <f t="shared" si="2"/>
        <v>Ø3</v>
      </c>
      <c r="B72">
        <v>154</v>
      </c>
      <c r="C72" s="24" t="s">
        <v>175</v>
      </c>
      <c r="D72">
        <v>3</v>
      </c>
      <c r="E72" s="48" t="s">
        <v>142</v>
      </c>
      <c r="F72" s="36" t="s">
        <v>382</v>
      </c>
      <c r="G72" s="102">
        <v>280.63299999999998</v>
      </c>
      <c r="H72" s="102">
        <v>125.824</v>
      </c>
      <c r="I72" s="102">
        <v>137.34899999999999</v>
      </c>
      <c r="J72" s="114">
        <v>3</v>
      </c>
      <c r="K72">
        <f t="shared" si="4"/>
        <v>3</v>
      </c>
    </row>
    <row r="73" spans="1:11" x14ac:dyDescent="0.25">
      <c r="A73" t="str">
        <f t="shared" si="2"/>
        <v>Å3</v>
      </c>
      <c r="B73">
        <v>147</v>
      </c>
      <c r="C73" s="49" t="s">
        <v>145</v>
      </c>
      <c r="D73">
        <v>3</v>
      </c>
      <c r="E73" s="49" t="s">
        <v>142</v>
      </c>
      <c r="F73" s="50" t="s">
        <v>382</v>
      </c>
      <c r="G73" s="102">
        <v>328.16300000000001</v>
      </c>
      <c r="H73" s="102">
        <v>98.697999999999993</v>
      </c>
      <c r="I73" s="102">
        <v>46.844999999999999</v>
      </c>
      <c r="J73" s="114">
        <v>3</v>
      </c>
      <c r="K73">
        <f t="shared" si="4"/>
        <v>3</v>
      </c>
    </row>
    <row r="74" spans="1:11" x14ac:dyDescent="0.25">
      <c r="A74" t="str">
        <f t="shared" si="2"/>
        <v>A1</v>
      </c>
      <c r="B74">
        <v>999</v>
      </c>
      <c r="C74" s="24" t="s">
        <v>36</v>
      </c>
      <c r="D74">
        <v>1</v>
      </c>
      <c r="E74" s="16" t="s">
        <v>142</v>
      </c>
      <c r="F74" s="30" t="s">
        <v>60</v>
      </c>
      <c r="G74" s="102"/>
      <c r="H74" s="102"/>
      <c r="I74" s="102"/>
      <c r="J74" s="114">
        <v>6</v>
      </c>
      <c r="K74">
        <f t="shared" si="4"/>
        <v>6</v>
      </c>
    </row>
    <row r="75" spans="1:11" x14ac:dyDescent="0.25">
      <c r="A75" t="str">
        <f t="shared" si="2"/>
        <v>B1</v>
      </c>
      <c r="B75">
        <v>999</v>
      </c>
      <c r="C75" s="6" t="s">
        <v>39</v>
      </c>
      <c r="D75">
        <v>1</v>
      </c>
      <c r="E75" s="18" t="s">
        <v>40</v>
      </c>
      <c r="F75" s="31" t="s">
        <v>49</v>
      </c>
      <c r="G75" s="115">
        <v>135.32</v>
      </c>
      <c r="H75" s="115">
        <v>159.38800000000001</v>
      </c>
      <c r="I75" s="115">
        <v>197.88499999999999</v>
      </c>
      <c r="J75" s="114">
        <v>6</v>
      </c>
      <c r="K75">
        <f t="shared" si="4"/>
        <v>6</v>
      </c>
    </row>
    <row r="76" spans="1:11" x14ac:dyDescent="0.25">
      <c r="A76" t="str">
        <f t="shared" si="2"/>
        <v>C1</v>
      </c>
      <c r="C76" s="25" t="s">
        <v>43</v>
      </c>
      <c r="D76">
        <v>1</v>
      </c>
      <c r="E76" s="17" t="s">
        <v>146</v>
      </c>
      <c r="F76" s="32" t="s">
        <v>49</v>
      </c>
      <c r="G76" s="115">
        <v>315.59300000000002</v>
      </c>
      <c r="H76" s="115">
        <v>450.137</v>
      </c>
      <c r="I76" s="115">
        <v>140.03399999999999</v>
      </c>
      <c r="J76" s="114">
        <v>6</v>
      </c>
      <c r="K76">
        <f t="shared" si="4"/>
        <v>6</v>
      </c>
    </row>
    <row r="77" spans="1:11" x14ac:dyDescent="0.25">
      <c r="A77" t="str">
        <f t="shared" si="2"/>
        <v>D1</v>
      </c>
      <c r="C77" s="25" t="s">
        <v>45</v>
      </c>
      <c r="D77">
        <v>1</v>
      </c>
      <c r="E77" s="17" t="s">
        <v>146</v>
      </c>
      <c r="F77" s="32" t="s">
        <v>49</v>
      </c>
      <c r="J77" s="114">
        <v>6</v>
      </c>
      <c r="K77">
        <f t="shared" si="4"/>
        <v>6</v>
      </c>
    </row>
    <row r="78" spans="1:11" x14ac:dyDescent="0.25">
      <c r="A78" t="str">
        <f t="shared" si="2"/>
        <v>E1</v>
      </c>
      <c r="B78">
        <v>108</v>
      </c>
      <c r="C78" s="25" t="s">
        <v>47</v>
      </c>
      <c r="D78">
        <v>1</v>
      </c>
      <c r="E78" s="17" t="s">
        <v>146</v>
      </c>
      <c r="F78" s="32" t="s">
        <v>60</v>
      </c>
      <c r="G78" s="115">
        <v>155.029</v>
      </c>
      <c r="H78" s="115">
        <v>112.855</v>
      </c>
      <c r="I78" s="115">
        <v>44.406999999999996</v>
      </c>
      <c r="J78" s="114">
        <v>6</v>
      </c>
      <c r="K78">
        <f t="shared" si="4"/>
        <v>6</v>
      </c>
    </row>
    <row r="79" spans="1:11" x14ac:dyDescent="0.25">
      <c r="A79" t="str">
        <f t="shared" si="2"/>
        <v>F1</v>
      </c>
      <c r="B79">
        <v>105</v>
      </c>
      <c r="C79" s="6" t="s">
        <v>49</v>
      </c>
      <c r="D79">
        <v>1</v>
      </c>
      <c r="E79" s="22" t="s">
        <v>40</v>
      </c>
      <c r="F79" s="31" t="s">
        <v>49</v>
      </c>
      <c r="G79" s="115">
        <v>107.066</v>
      </c>
      <c r="H79" s="115">
        <v>107.276</v>
      </c>
      <c r="I79" s="115">
        <v>130.11500000000001</v>
      </c>
      <c r="J79" s="114">
        <v>6</v>
      </c>
      <c r="K79">
        <f t="shared" si="4"/>
        <v>6</v>
      </c>
    </row>
    <row r="80" spans="1:11" x14ac:dyDescent="0.25">
      <c r="A80" t="str">
        <f t="shared" si="2"/>
        <v>G1</v>
      </c>
      <c r="B80">
        <v>106</v>
      </c>
      <c r="C80" s="25" t="s">
        <v>51</v>
      </c>
      <c r="D80">
        <v>1</v>
      </c>
      <c r="E80" s="17" t="s">
        <v>146</v>
      </c>
      <c r="F80" s="32" t="s">
        <v>49</v>
      </c>
      <c r="G80" s="115">
        <v>84.06</v>
      </c>
      <c r="H80" s="115">
        <v>175.75299999999999</v>
      </c>
      <c r="I80" s="115">
        <v>158.47300000000001</v>
      </c>
      <c r="J80" s="114">
        <v>6</v>
      </c>
      <c r="K80">
        <f t="shared" si="4"/>
        <v>6</v>
      </c>
    </row>
    <row r="81" spans="1:11" x14ac:dyDescent="0.25">
      <c r="A81" t="str">
        <f t="shared" si="2"/>
        <v>H1</v>
      </c>
      <c r="B81">
        <v>111</v>
      </c>
      <c r="C81" s="1" t="s">
        <v>53</v>
      </c>
      <c r="D81">
        <v>1</v>
      </c>
      <c r="E81" s="4" t="s">
        <v>54</v>
      </c>
      <c r="F81" s="33" t="s">
        <v>60</v>
      </c>
      <c r="G81" s="115">
        <v>0</v>
      </c>
      <c r="H81" s="115">
        <v>0</v>
      </c>
      <c r="I81" s="115">
        <v>0</v>
      </c>
      <c r="J81" s="114">
        <v>6</v>
      </c>
      <c r="K81">
        <f t="shared" si="4"/>
        <v>6</v>
      </c>
    </row>
    <row r="82" spans="1:11" x14ac:dyDescent="0.25">
      <c r="A82" t="str">
        <f t="shared" si="2"/>
        <v>I1</v>
      </c>
      <c r="B82">
        <v>107</v>
      </c>
      <c r="C82" s="6" t="s">
        <v>56</v>
      </c>
      <c r="D82">
        <v>1</v>
      </c>
      <c r="E82" s="18" t="s">
        <v>40</v>
      </c>
      <c r="F82" s="31" t="s">
        <v>60</v>
      </c>
      <c r="G82" s="115">
        <v>188.95099999999999</v>
      </c>
      <c r="H82" s="115">
        <v>173.31200000000001</v>
      </c>
      <c r="I82" s="115">
        <v>228.72200000000001</v>
      </c>
      <c r="J82" s="114">
        <v>6</v>
      </c>
      <c r="K82">
        <f t="shared" si="4"/>
        <v>6</v>
      </c>
    </row>
    <row r="83" spans="1:11" x14ac:dyDescent="0.25">
      <c r="A83" t="str">
        <f t="shared" ref="A83:A146" si="5">C83&amp;D83</f>
        <v>J1</v>
      </c>
      <c r="C83" s="24" t="s">
        <v>80</v>
      </c>
      <c r="D83">
        <v>1</v>
      </c>
      <c r="E83" s="15" t="s">
        <v>142</v>
      </c>
      <c r="F83" s="30" t="s">
        <v>60</v>
      </c>
      <c r="G83" s="115">
        <v>255.93600000000001</v>
      </c>
      <c r="H83" s="115">
        <v>110.752</v>
      </c>
      <c r="I83" s="115">
        <v>173.60300000000001</v>
      </c>
      <c r="J83" s="114">
        <v>6</v>
      </c>
      <c r="K83">
        <f t="shared" ref="K83:K114" si="6">J83</f>
        <v>6</v>
      </c>
    </row>
    <row r="84" spans="1:11" x14ac:dyDescent="0.25">
      <c r="A84" t="str">
        <f t="shared" si="5"/>
        <v>K1</v>
      </c>
      <c r="C84" s="2" t="s">
        <v>82</v>
      </c>
      <c r="D84">
        <v>1</v>
      </c>
      <c r="E84" s="23" t="s">
        <v>71</v>
      </c>
      <c r="F84" s="110" t="s">
        <v>60</v>
      </c>
      <c r="G84" s="115">
        <v>0</v>
      </c>
      <c r="H84" s="115">
        <v>0</v>
      </c>
      <c r="I84" s="115">
        <v>0</v>
      </c>
      <c r="J84" s="114">
        <v>6</v>
      </c>
      <c r="K84">
        <f t="shared" si="6"/>
        <v>6</v>
      </c>
    </row>
    <row r="85" spans="1:11" x14ac:dyDescent="0.25">
      <c r="A85" t="str">
        <f t="shared" si="5"/>
        <v>L1</v>
      </c>
      <c r="B85">
        <v>113</v>
      </c>
      <c r="C85" s="1" t="s">
        <v>58</v>
      </c>
      <c r="D85">
        <v>1</v>
      </c>
      <c r="E85" s="4" t="s">
        <v>54</v>
      </c>
      <c r="F85" s="33" t="s">
        <v>49</v>
      </c>
      <c r="G85" s="115">
        <v>89.358999999999995</v>
      </c>
      <c r="H85" s="115">
        <v>0</v>
      </c>
      <c r="I85" s="115">
        <v>0</v>
      </c>
      <c r="J85" s="114">
        <v>6</v>
      </c>
      <c r="K85">
        <f t="shared" si="6"/>
        <v>6</v>
      </c>
    </row>
    <row r="86" spans="1:11" x14ac:dyDescent="0.25">
      <c r="A86" t="str">
        <f t="shared" si="5"/>
        <v>M1</v>
      </c>
      <c r="B86">
        <v>114</v>
      </c>
      <c r="C86" s="24" t="s">
        <v>60</v>
      </c>
      <c r="D86">
        <v>1</v>
      </c>
      <c r="E86" s="15" t="s">
        <v>142</v>
      </c>
      <c r="F86" s="30" t="s">
        <v>49</v>
      </c>
      <c r="G86" s="115">
        <v>196.38300000000001</v>
      </c>
      <c r="H86" s="115">
        <v>238.136</v>
      </c>
      <c r="I86" s="115">
        <v>1123.6590000000001</v>
      </c>
      <c r="J86" s="114">
        <v>6</v>
      </c>
      <c r="K86">
        <f t="shared" si="6"/>
        <v>6</v>
      </c>
    </row>
    <row r="87" spans="1:11" x14ac:dyDescent="0.25">
      <c r="A87" t="str">
        <f t="shared" si="5"/>
        <v>N1</v>
      </c>
      <c r="C87" s="6" t="s">
        <v>62</v>
      </c>
      <c r="D87">
        <v>1</v>
      </c>
      <c r="E87" s="22" t="s">
        <v>40</v>
      </c>
      <c r="F87" s="31" t="s">
        <v>60</v>
      </c>
      <c r="G87" s="115">
        <v>99.703000000000003</v>
      </c>
      <c r="H87" s="115">
        <v>842.05</v>
      </c>
      <c r="I87" s="115">
        <v>2204.8209999999999</v>
      </c>
      <c r="J87" s="114">
        <v>6</v>
      </c>
      <c r="K87">
        <f t="shared" si="6"/>
        <v>6</v>
      </c>
    </row>
    <row r="88" spans="1:11" x14ac:dyDescent="0.25">
      <c r="A88" t="str">
        <f t="shared" si="5"/>
        <v>O1</v>
      </c>
      <c r="C88" s="25" t="s">
        <v>64</v>
      </c>
      <c r="D88">
        <v>1</v>
      </c>
      <c r="E88" s="17" t="s">
        <v>146</v>
      </c>
      <c r="F88" s="32" t="s">
        <v>60</v>
      </c>
      <c r="G88" s="115">
        <v>222.16499999999999</v>
      </c>
      <c r="H88" s="115">
        <v>92.147999999999996</v>
      </c>
      <c r="I88" s="115">
        <v>78.710999999999999</v>
      </c>
      <c r="J88" s="114">
        <v>6</v>
      </c>
      <c r="K88">
        <f t="shared" si="6"/>
        <v>6</v>
      </c>
    </row>
    <row r="89" spans="1:11" x14ac:dyDescent="0.25">
      <c r="A89" t="str">
        <f t="shared" si="5"/>
        <v>P1</v>
      </c>
      <c r="C89" s="24" t="s">
        <v>66</v>
      </c>
      <c r="D89">
        <v>1</v>
      </c>
      <c r="E89" s="15" t="s">
        <v>142</v>
      </c>
      <c r="F89" s="30" t="s">
        <v>60</v>
      </c>
      <c r="G89" s="115">
        <v>291.45699999999999</v>
      </c>
      <c r="H89" s="115">
        <v>303.75299999999999</v>
      </c>
      <c r="I89" s="115">
        <v>2847.2080000000001</v>
      </c>
      <c r="J89" s="114">
        <v>6</v>
      </c>
      <c r="K89">
        <f t="shared" si="6"/>
        <v>6</v>
      </c>
    </row>
    <row r="90" spans="1:11" x14ac:dyDescent="0.25">
      <c r="A90" t="str">
        <f t="shared" si="5"/>
        <v>R1</v>
      </c>
      <c r="B90">
        <v>104</v>
      </c>
      <c r="C90" s="24" t="s">
        <v>68</v>
      </c>
      <c r="D90">
        <v>1</v>
      </c>
      <c r="E90" s="16" t="s">
        <v>142</v>
      </c>
      <c r="F90" s="30" t="s">
        <v>49</v>
      </c>
      <c r="G90" s="115">
        <v>80.754000000000005</v>
      </c>
      <c r="H90" s="115">
        <v>124.71</v>
      </c>
      <c r="I90" s="115">
        <v>71.344999999999999</v>
      </c>
      <c r="J90" s="114">
        <v>6</v>
      </c>
      <c r="K90">
        <f t="shared" si="6"/>
        <v>6</v>
      </c>
    </row>
    <row r="91" spans="1:11" x14ac:dyDescent="0.25">
      <c r="A91" t="str">
        <f t="shared" si="5"/>
        <v>S1</v>
      </c>
      <c r="B91">
        <v>112</v>
      </c>
      <c r="C91" s="2" t="s">
        <v>70</v>
      </c>
      <c r="D91">
        <v>1</v>
      </c>
      <c r="E91" s="3" t="s">
        <v>71</v>
      </c>
      <c r="F91" s="110" t="s">
        <v>49</v>
      </c>
      <c r="G91" s="115">
        <v>0</v>
      </c>
      <c r="H91" s="115">
        <v>0</v>
      </c>
      <c r="I91" s="115">
        <v>0</v>
      </c>
      <c r="J91" s="114">
        <v>6</v>
      </c>
      <c r="K91">
        <f t="shared" si="6"/>
        <v>6</v>
      </c>
    </row>
    <row r="92" spans="1:11" x14ac:dyDescent="0.25">
      <c r="A92" t="str">
        <f t="shared" si="5"/>
        <v>A2</v>
      </c>
      <c r="B92">
        <v>117</v>
      </c>
      <c r="C92" s="15" t="s">
        <v>36</v>
      </c>
      <c r="D92">
        <v>2</v>
      </c>
      <c r="E92" s="16" t="s">
        <v>142</v>
      </c>
      <c r="F92" s="122" t="s">
        <v>383</v>
      </c>
      <c r="G92" s="115">
        <v>268.50400000000002</v>
      </c>
      <c r="H92" s="115">
        <v>272.54300000000001</v>
      </c>
      <c r="I92" s="115">
        <v>926.24699999999996</v>
      </c>
      <c r="J92" s="114">
        <v>6</v>
      </c>
      <c r="K92">
        <f t="shared" si="6"/>
        <v>6</v>
      </c>
    </row>
    <row r="93" spans="1:11" x14ac:dyDescent="0.25">
      <c r="A93" t="str">
        <f t="shared" si="5"/>
        <v>B2</v>
      </c>
      <c r="B93">
        <v>123</v>
      </c>
      <c r="C93" s="15" t="s">
        <v>39</v>
      </c>
      <c r="D93">
        <v>2</v>
      </c>
      <c r="E93" s="15" t="s">
        <v>142</v>
      </c>
      <c r="F93" s="29" t="s">
        <v>382</v>
      </c>
      <c r="G93" s="115">
        <v>217.74700000000001</v>
      </c>
      <c r="H93" s="115">
        <v>83.623999999999995</v>
      </c>
      <c r="I93" s="115">
        <v>38.475999999999999</v>
      </c>
      <c r="J93" s="114">
        <v>6</v>
      </c>
      <c r="K93">
        <f t="shared" si="6"/>
        <v>6</v>
      </c>
    </row>
    <row r="94" spans="1:11" x14ac:dyDescent="0.25">
      <c r="A94" t="str">
        <f t="shared" si="5"/>
        <v>C2</v>
      </c>
      <c r="B94">
        <v>126</v>
      </c>
      <c r="C94" s="15" t="s">
        <v>43</v>
      </c>
      <c r="D94">
        <v>2</v>
      </c>
      <c r="E94" s="15" t="s">
        <v>142</v>
      </c>
      <c r="F94" s="29" t="s">
        <v>382</v>
      </c>
      <c r="G94" s="115">
        <v>143.078</v>
      </c>
      <c r="H94" s="115">
        <v>65.552999999999997</v>
      </c>
      <c r="I94">
        <v>142.768</v>
      </c>
      <c r="J94" s="114">
        <v>6</v>
      </c>
      <c r="K94">
        <f t="shared" si="6"/>
        <v>6</v>
      </c>
    </row>
    <row r="95" spans="1:11" x14ac:dyDescent="0.25">
      <c r="A95" t="str">
        <f t="shared" si="5"/>
        <v>D2</v>
      </c>
      <c r="B95">
        <v>136</v>
      </c>
      <c r="C95" s="17" t="s">
        <v>45</v>
      </c>
      <c r="D95">
        <v>2</v>
      </c>
      <c r="E95" s="17" t="s">
        <v>146</v>
      </c>
      <c r="F95" s="107" t="s">
        <v>382</v>
      </c>
      <c r="G95" s="115">
        <v>235.251</v>
      </c>
      <c r="H95" s="115">
        <v>169.61500000000001</v>
      </c>
      <c r="I95" s="115">
        <v>103.331</v>
      </c>
      <c r="J95" s="114">
        <v>6</v>
      </c>
      <c r="K95">
        <f t="shared" si="6"/>
        <v>6</v>
      </c>
    </row>
    <row r="96" spans="1:11" x14ac:dyDescent="0.25">
      <c r="A96" t="str">
        <f t="shared" si="5"/>
        <v>E2</v>
      </c>
      <c r="B96">
        <v>133</v>
      </c>
      <c r="C96" s="17" t="s">
        <v>47</v>
      </c>
      <c r="D96">
        <v>2</v>
      </c>
      <c r="E96" s="17" t="s">
        <v>146</v>
      </c>
      <c r="F96" s="107" t="s">
        <v>382</v>
      </c>
      <c r="G96" s="115">
        <v>273.58499999999998</v>
      </c>
      <c r="H96" s="115">
        <v>103.64100000000001</v>
      </c>
      <c r="I96" s="115">
        <v>65.488</v>
      </c>
      <c r="J96" s="114">
        <v>6</v>
      </c>
      <c r="K96">
        <f t="shared" si="6"/>
        <v>6</v>
      </c>
    </row>
    <row r="97" spans="1:11" x14ac:dyDescent="0.25">
      <c r="A97" t="str">
        <f t="shared" si="5"/>
        <v>F2</v>
      </c>
      <c r="B97">
        <v>119</v>
      </c>
      <c r="C97" s="18" t="s">
        <v>49</v>
      </c>
      <c r="D97">
        <v>2</v>
      </c>
      <c r="E97" s="18" t="s">
        <v>40</v>
      </c>
      <c r="F97" s="108" t="s">
        <v>383</v>
      </c>
      <c r="G97" s="115">
        <v>249.81100000000001</v>
      </c>
      <c r="H97" s="115">
        <v>282.815</v>
      </c>
      <c r="I97" s="115">
        <v>761.17899999999997</v>
      </c>
      <c r="J97" s="114">
        <v>6</v>
      </c>
      <c r="K97">
        <f t="shared" si="6"/>
        <v>6</v>
      </c>
    </row>
    <row r="98" spans="1:11" x14ac:dyDescent="0.25">
      <c r="A98" t="str">
        <f t="shared" si="5"/>
        <v>G2</v>
      </c>
      <c r="B98">
        <v>135</v>
      </c>
      <c r="C98" s="4" t="s">
        <v>51</v>
      </c>
      <c r="D98">
        <v>2</v>
      </c>
      <c r="E98" s="4" t="s">
        <v>54</v>
      </c>
      <c r="F98" s="109" t="s">
        <v>382</v>
      </c>
      <c r="G98" s="115">
        <v>62.662999999999997</v>
      </c>
      <c r="H98" s="115">
        <v>0</v>
      </c>
      <c r="I98" s="115">
        <v>0</v>
      </c>
      <c r="J98" s="114">
        <v>6</v>
      </c>
      <c r="K98">
        <f t="shared" si="6"/>
        <v>6</v>
      </c>
    </row>
    <row r="99" spans="1:11" x14ac:dyDescent="0.25">
      <c r="A99" t="str">
        <f t="shared" si="5"/>
        <v>H2</v>
      </c>
      <c r="B99">
        <v>999</v>
      </c>
      <c r="C99" s="18" t="s">
        <v>53</v>
      </c>
      <c r="D99">
        <v>2</v>
      </c>
      <c r="E99" s="18" t="s">
        <v>40</v>
      </c>
      <c r="F99" s="108" t="s">
        <v>383</v>
      </c>
      <c r="G99" s="115">
        <v>514.64599999999996</v>
      </c>
      <c r="H99" s="115">
        <v>434.07900000000001</v>
      </c>
      <c r="I99" s="115">
        <v>834.471</v>
      </c>
      <c r="J99" s="114">
        <v>6</v>
      </c>
      <c r="K99">
        <f t="shared" si="6"/>
        <v>6</v>
      </c>
    </row>
    <row r="100" spans="1:11" x14ac:dyDescent="0.25">
      <c r="A100" t="str">
        <f t="shared" si="5"/>
        <v>I2</v>
      </c>
      <c r="B100">
        <v>132</v>
      </c>
      <c r="C100" s="4" t="s">
        <v>56</v>
      </c>
      <c r="D100">
        <v>2</v>
      </c>
      <c r="E100" s="4" t="s">
        <v>54</v>
      </c>
      <c r="F100" s="109" t="s">
        <v>383</v>
      </c>
      <c r="G100" s="115">
        <v>0</v>
      </c>
      <c r="H100" s="115">
        <v>9.9510000000000005</v>
      </c>
      <c r="I100" s="115">
        <v>1.3819999999999999</v>
      </c>
      <c r="J100" s="114">
        <v>6</v>
      </c>
      <c r="K100">
        <f t="shared" si="6"/>
        <v>6</v>
      </c>
    </row>
    <row r="101" spans="1:11" x14ac:dyDescent="0.25">
      <c r="A101" t="str">
        <f t="shared" si="5"/>
        <v>J2</v>
      </c>
      <c r="B101">
        <v>128</v>
      </c>
      <c r="C101" s="15" t="s">
        <v>80</v>
      </c>
      <c r="D101">
        <v>2</v>
      </c>
      <c r="E101" s="15" t="s">
        <v>142</v>
      </c>
      <c r="F101" s="29" t="s">
        <v>382</v>
      </c>
      <c r="G101" s="115">
        <v>293.20499999999998</v>
      </c>
      <c r="H101" s="115">
        <v>94.570999999999998</v>
      </c>
      <c r="I101" s="115">
        <v>55.423999999999999</v>
      </c>
      <c r="J101" s="114">
        <v>6</v>
      </c>
      <c r="K101">
        <f t="shared" si="6"/>
        <v>6</v>
      </c>
    </row>
    <row r="102" spans="1:11" x14ac:dyDescent="0.25">
      <c r="A102" t="str">
        <f t="shared" si="5"/>
        <v>K2</v>
      </c>
      <c r="B102">
        <v>141</v>
      </c>
      <c r="C102" s="17" t="s">
        <v>82</v>
      </c>
      <c r="D102">
        <v>2</v>
      </c>
      <c r="E102" s="17" t="s">
        <v>146</v>
      </c>
      <c r="F102" s="107" t="s">
        <v>383</v>
      </c>
      <c r="G102" s="115">
        <v>192.61799999999999</v>
      </c>
      <c r="H102" s="115">
        <v>107.88500000000001</v>
      </c>
      <c r="I102" s="115">
        <v>87.596999999999994</v>
      </c>
      <c r="J102" s="114">
        <v>6</v>
      </c>
      <c r="K102">
        <f t="shared" si="6"/>
        <v>6</v>
      </c>
    </row>
    <row r="103" spans="1:11" x14ac:dyDescent="0.25">
      <c r="A103" t="str">
        <f t="shared" si="5"/>
        <v>L2</v>
      </c>
      <c r="B103">
        <v>131</v>
      </c>
      <c r="C103" s="3" t="s">
        <v>58</v>
      </c>
      <c r="D103">
        <v>2</v>
      </c>
      <c r="E103" s="3" t="s">
        <v>71</v>
      </c>
      <c r="F103" s="28" t="s">
        <v>383</v>
      </c>
      <c r="G103" s="115">
        <v>40.061999999999998</v>
      </c>
      <c r="H103" s="115">
        <v>0</v>
      </c>
      <c r="I103" s="115">
        <v>0</v>
      </c>
      <c r="J103" s="114">
        <v>6</v>
      </c>
      <c r="K103">
        <f t="shared" si="6"/>
        <v>6</v>
      </c>
    </row>
    <row r="104" spans="1:11" x14ac:dyDescent="0.25">
      <c r="A104" t="str">
        <f t="shared" si="5"/>
        <v>M2</v>
      </c>
      <c r="B104">
        <v>140</v>
      </c>
      <c r="C104" s="15" t="s">
        <v>60</v>
      </c>
      <c r="D104">
        <v>2</v>
      </c>
      <c r="E104" s="15" t="s">
        <v>142</v>
      </c>
      <c r="F104" s="29" t="s">
        <v>383</v>
      </c>
      <c r="G104" s="115">
        <v>247.102</v>
      </c>
      <c r="H104" s="115">
        <v>105.13</v>
      </c>
      <c r="I104" s="115">
        <v>108.60599999999999</v>
      </c>
      <c r="J104" s="114">
        <v>6</v>
      </c>
      <c r="K104">
        <f t="shared" si="6"/>
        <v>6</v>
      </c>
    </row>
    <row r="105" spans="1:11" x14ac:dyDescent="0.25">
      <c r="A105" t="str">
        <f t="shared" si="5"/>
        <v>N2</v>
      </c>
      <c r="B105">
        <v>115</v>
      </c>
      <c r="C105" s="18" t="s">
        <v>62</v>
      </c>
      <c r="D105">
        <v>2</v>
      </c>
      <c r="E105" s="18" t="s">
        <v>40</v>
      </c>
      <c r="F105" s="108" t="s">
        <v>383</v>
      </c>
      <c r="G105" s="115">
        <v>385.78699999999998</v>
      </c>
      <c r="H105" s="115">
        <v>383.02</v>
      </c>
      <c r="I105" s="115">
        <v>1311.9559999999999</v>
      </c>
      <c r="J105" s="114">
        <v>6</v>
      </c>
      <c r="K105">
        <f t="shared" si="6"/>
        <v>6</v>
      </c>
    </row>
    <row r="106" spans="1:11" x14ac:dyDescent="0.25">
      <c r="A106" t="str">
        <f t="shared" si="5"/>
        <v>O2</v>
      </c>
      <c r="B106">
        <v>134</v>
      </c>
      <c r="C106" s="3" t="s">
        <v>64</v>
      </c>
      <c r="D106">
        <v>2</v>
      </c>
      <c r="E106" s="3" t="s">
        <v>71</v>
      </c>
      <c r="F106" s="28" t="s">
        <v>383</v>
      </c>
      <c r="G106" s="115">
        <v>67.847999999999999</v>
      </c>
      <c r="H106" s="115">
        <v>0</v>
      </c>
      <c r="I106" s="115">
        <v>8.2810000000000006</v>
      </c>
      <c r="J106" s="114">
        <v>6</v>
      </c>
      <c r="K106">
        <f t="shared" si="6"/>
        <v>6</v>
      </c>
    </row>
    <row r="107" spans="1:11" x14ac:dyDescent="0.25">
      <c r="A107" t="str">
        <f t="shared" si="5"/>
        <v>P2</v>
      </c>
      <c r="B107">
        <v>129</v>
      </c>
      <c r="C107" s="15" t="s">
        <v>66</v>
      </c>
      <c r="D107">
        <v>2</v>
      </c>
      <c r="E107" s="15" t="s">
        <v>142</v>
      </c>
      <c r="F107" s="29" t="s">
        <v>382</v>
      </c>
      <c r="G107" s="115">
        <v>120.048</v>
      </c>
      <c r="H107" s="115">
        <v>134.21299999999999</v>
      </c>
      <c r="I107" s="115">
        <v>39.590000000000003</v>
      </c>
      <c r="J107" s="114">
        <v>6</v>
      </c>
      <c r="K107">
        <f t="shared" si="6"/>
        <v>6</v>
      </c>
    </row>
    <row r="108" spans="1:11" x14ac:dyDescent="0.25">
      <c r="A108" t="str">
        <f t="shared" si="5"/>
        <v>Q2</v>
      </c>
      <c r="B108">
        <v>124</v>
      </c>
      <c r="C108" s="18" t="s">
        <v>385</v>
      </c>
      <c r="D108">
        <v>2</v>
      </c>
      <c r="E108" s="18" t="s">
        <v>40</v>
      </c>
      <c r="F108" s="108" t="s">
        <v>382</v>
      </c>
      <c r="G108" s="115">
        <v>258.04500000000002</v>
      </c>
      <c r="H108" s="115">
        <v>112.944</v>
      </c>
      <c r="I108" s="115">
        <v>214.82400000000001</v>
      </c>
      <c r="J108" s="114">
        <v>6</v>
      </c>
      <c r="K108">
        <f t="shared" si="6"/>
        <v>6</v>
      </c>
    </row>
    <row r="109" spans="1:11" x14ac:dyDescent="0.25">
      <c r="A109" t="str">
        <f t="shared" si="5"/>
        <v>R2</v>
      </c>
      <c r="B109">
        <v>118</v>
      </c>
      <c r="C109" s="18" t="s">
        <v>68</v>
      </c>
      <c r="D109">
        <v>2</v>
      </c>
      <c r="E109" s="18" t="s">
        <v>40</v>
      </c>
      <c r="F109" s="108" t="s">
        <v>382</v>
      </c>
      <c r="G109" s="115">
        <v>232.904</v>
      </c>
      <c r="H109" s="115">
        <v>286.64299999999997</v>
      </c>
      <c r="I109" s="115">
        <v>1212.298</v>
      </c>
      <c r="J109" s="114">
        <v>6</v>
      </c>
      <c r="K109">
        <f t="shared" si="6"/>
        <v>6</v>
      </c>
    </row>
    <row r="110" spans="1:11" x14ac:dyDescent="0.25">
      <c r="A110" t="str">
        <f t="shared" si="5"/>
        <v>S2</v>
      </c>
      <c r="B110">
        <v>125</v>
      </c>
      <c r="C110" s="15" t="s">
        <v>70</v>
      </c>
      <c r="D110">
        <v>2</v>
      </c>
      <c r="E110" s="15" t="s">
        <v>142</v>
      </c>
      <c r="F110" s="29" t="s">
        <v>383</v>
      </c>
      <c r="G110" s="115">
        <v>166.49799999999999</v>
      </c>
      <c r="H110" s="115">
        <v>204.16200000000001</v>
      </c>
      <c r="I110" s="115">
        <v>227.41300000000001</v>
      </c>
      <c r="J110" s="114">
        <v>6</v>
      </c>
      <c r="K110">
        <f t="shared" si="6"/>
        <v>6</v>
      </c>
    </row>
    <row r="111" spans="1:11" x14ac:dyDescent="0.25">
      <c r="A111" t="str">
        <f t="shared" si="5"/>
        <v>T2</v>
      </c>
      <c r="B111">
        <v>138</v>
      </c>
      <c r="C111" s="4" t="s">
        <v>386</v>
      </c>
      <c r="D111">
        <v>2</v>
      </c>
      <c r="E111" s="4" t="s">
        <v>54</v>
      </c>
      <c r="F111" s="109" t="s">
        <v>383</v>
      </c>
      <c r="G111" s="115">
        <v>0</v>
      </c>
      <c r="H111" s="115">
        <v>9.8659999999999997</v>
      </c>
      <c r="I111" s="115">
        <v>6.2140000000000004</v>
      </c>
      <c r="J111" s="114">
        <v>6</v>
      </c>
      <c r="K111">
        <f t="shared" si="6"/>
        <v>6</v>
      </c>
    </row>
    <row r="112" spans="1:11" x14ac:dyDescent="0.25">
      <c r="A112" t="str">
        <f t="shared" si="5"/>
        <v>U2</v>
      </c>
      <c r="B112">
        <v>121</v>
      </c>
      <c r="C112" s="17" t="s">
        <v>388</v>
      </c>
      <c r="D112">
        <v>2</v>
      </c>
      <c r="E112" s="17" t="s">
        <v>146</v>
      </c>
      <c r="F112" s="107" t="s">
        <v>383</v>
      </c>
      <c r="G112" s="115">
        <v>150.26599999999999</v>
      </c>
      <c r="H112" s="115">
        <v>105.833</v>
      </c>
      <c r="I112" s="115">
        <v>81.941000000000003</v>
      </c>
      <c r="J112" s="114">
        <v>6</v>
      </c>
      <c r="K112">
        <f t="shared" si="6"/>
        <v>6</v>
      </c>
    </row>
    <row r="113" spans="1:11" x14ac:dyDescent="0.25">
      <c r="A113" t="str">
        <f t="shared" si="5"/>
        <v>V2</v>
      </c>
      <c r="B113">
        <v>127</v>
      </c>
      <c r="C113" s="17" t="s">
        <v>389</v>
      </c>
      <c r="D113">
        <v>2</v>
      </c>
      <c r="E113" s="17" t="s">
        <v>146</v>
      </c>
      <c r="F113" s="107" t="s">
        <v>383</v>
      </c>
      <c r="G113" s="115">
        <v>130.315</v>
      </c>
      <c r="H113" s="115">
        <v>91.563000000000002</v>
      </c>
      <c r="I113" s="115">
        <v>7.64</v>
      </c>
      <c r="J113" s="114">
        <v>6</v>
      </c>
      <c r="K113">
        <f t="shared" si="6"/>
        <v>6</v>
      </c>
    </row>
    <row r="114" spans="1:11" x14ac:dyDescent="0.25">
      <c r="A114" t="str">
        <f t="shared" si="5"/>
        <v>X2</v>
      </c>
      <c r="B114">
        <v>139</v>
      </c>
      <c r="C114" s="17" t="s">
        <v>390</v>
      </c>
      <c r="D114">
        <v>2</v>
      </c>
      <c r="E114" s="17" t="s">
        <v>146</v>
      </c>
      <c r="F114" s="107" t="s">
        <v>383</v>
      </c>
      <c r="G114" s="115">
        <v>140.05000000000001</v>
      </c>
      <c r="H114" s="115">
        <v>113.97499999999999</v>
      </c>
      <c r="I114" s="115">
        <v>75.305000000000007</v>
      </c>
      <c r="J114" s="114">
        <v>6</v>
      </c>
      <c r="K114">
        <f t="shared" si="6"/>
        <v>6</v>
      </c>
    </row>
    <row r="115" spans="1:11" x14ac:dyDescent="0.25">
      <c r="A115" t="str">
        <f t="shared" si="5"/>
        <v>Y2</v>
      </c>
      <c r="B115">
        <v>122</v>
      </c>
      <c r="C115" s="18" t="s">
        <v>384</v>
      </c>
      <c r="D115">
        <v>2</v>
      </c>
      <c r="E115" s="18" t="s">
        <v>40</v>
      </c>
      <c r="F115" s="108" t="s">
        <v>383</v>
      </c>
      <c r="G115" s="115">
        <v>224.077</v>
      </c>
      <c r="H115" s="115">
        <v>178.19</v>
      </c>
      <c r="I115" s="115">
        <v>316.274</v>
      </c>
      <c r="J115" s="114">
        <v>6</v>
      </c>
      <c r="K115">
        <f t="shared" ref="K115:K145" si="7">J115</f>
        <v>6</v>
      </c>
    </row>
    <row r="116" spans="1:11" x14ac:dyDescent="0.25">
      <c r="A116" t="str">
        <f t="shared" si="5"/>
        <v>Z2</v>
      </c>
      <c r="B116">
        <v>116</v>
      </c>
      <c r="C116" s="15" t="s">
        <v>387</v>
      </c>
      <c r="D116">
        <v>2</v>
      </c>
      <c r="E116" s="15" t="s">
        <v>142</v>
      </c>
      <c r="F116" s="29" t="s">
        <v>382</v>
      </c>
      <c r="G116" s="115">
        <v>249.84100000000001</v>
      </c>
      <c r="H116" s="115">
        <v>276.49599999999998</v>
      </c>
      <c r="I116" s="115">
        <v>657.67899999999997</v>
      </c>
      <c r="J116" s="114">
        <v>6</v>
      </c>
      <c r="K116">
        <f t="shared" si="7"/>
        <v>6</v>
      </c>
    </row>
    <row r="117" spans="1:11" x14ac:dyDescent="0.25">
      <c r="A117" t="str">
        <f t="shared" si="5"/>
        <v>Æ2</v>
      </c>
      <c r="B117">
        <v>120</v>
      </c>
      <c r="C117" s="15" t="s">
        <v>202</v>
      </c>
      <c r="D117">
        <v>2</v>
      </c>
      <c r="E117" s="15" t="s">
        <v>142</v>
      </c>
      <c r="F117" s="29" t="s">
        <v>383</v>
      </c>
      <c r="G117" s="115">
        <v>273.25200000000001</v>
      </c>
      <c r="H117" s="115">
        <v>351.94799999999998</v>
      </c>
      <c r="I117" s="115">
        <v>255.08500000000001</v>
      </c>
      <c r="J117" s="114">
        <v>6</v>
      </c>
      <c r="K117">
        <f t="shared" si="7"/>
        <v>6</v>
      </c>
    </row>
    <row r="118" spans="1:11" x14ac:dyDescent="0.25">
      <c r="A118" t="str">
        <f t="shared" si="5"/>
        <v>Ø2</v>
      </c>
      <c r="B118">
        <v>137</v>
      </c>
      <c r="C118" s="3" t="s">
        <v>175</v>
      </c>
      <c r="D118">
        <v>2</v>
      </c>
      <c r="E118" s="3" t="s">
        <v>71</v>
      </c>
      <c r="F118" s="28" t="s">
        <v>382</v>
      </c>
      <c r="G118" s="115">
        <v>239.82300000000001</v>
      </c>
      <c r="H118" s="115">
        <v>0</v>
      </c>
      <c r="I118" s="115">
        <v>101.334</v>
      </c>
      <c r="J118" s="114">
        <v>6</v>
      </c>
      <c r="K118">
        <f t="shared" si="7"/>
        <v>6</v>
      </c>
    </row>
    <row r="119" spans="1:11" x14ac:dyDescent="0.25">
      <c r="A119" t="str">
        <f t="shared" si="5"/>
        <v>Å2</v>
      </c>
      <c r="B119">
        <v>130</v>
      </c>
      <c r="C119" s="17" t="s">
        <v>145</v>
      </c>
      <c r="D119">
        <v>2</v>
      </c>
      <c r="E119" s="17" t="s">
        <v>146</v>
      </c>
      <c r="F119" s="107" t="s">
        <v>383</v>
      </c>
      <c r="G119" s="115">
        <v>170.70699999999999</v>
      </c>
      <c r="H119" s="115">
        <v>49.009</v>
      </c>
      <c r="I119" s="115">
        <v>13.026</v>
      </c>
      <c r="J119" s="114">
        <v>6</v>
      </c>
      <c r="K119">
        <f t="shared" si="7"/>
        <v>6</v>
      </c>
    </row>
    <row r="120" spans="1:11" x14ac:dyDescent="0.25">
      <c r="A120" t="str">
        <f t="shared" si="5"/>
        <v>A3</v>
      </c>
      <c r="B120">
        <v>150</v>
      </c>
      <c r="C120" s="49" t="s">
        <v>36</v>
      </c>
      <c r="D120">
        <v>3</v>
      </c>
      <c r="E120" s="49" t="s">
        <v>40</v>
      </c>
      <c r="F120" s="50" t="s">
        <v>382</v>
      </c>
      <c r="G120" s="115">
        <v>304.851</v>
      </c>
      <c r="H120" s="115">
        <v>286.34399999999999</v>
      </c>
      <c r="I120" s="115">
        <v>581.62699999999995</v>
      </c>
      <c r="J120" s="114">
        <v>6</v>
      </c>
      <c r="K120">
        <f t="shared" si="7"/>
        <v>6</v>
      </c>
    </row>
    <row r="121" spans="1:11" x14ac:dyDescent="0.25">
      <c r="A121" t="str">
        <f t="shared" si="5"/>
        <v>ALPHA3</v>
      </c>
      <c r="B121">
        <v>149</v>
      </c>
      <c r="C121" s="49" t="s">
        <v>586</v>
      </c>
      <c r="D121">
        <v>3</v>
      </c>
      <c r="E121" s="49" t="s">
        <v>142</v>
      </c>
      <c r="F121" s="50" t="s">
        <v>383</v>
      </c>
      <c r="G121" s="115">
        <v>597.94600000000003</v>
      </c>
      <c r="H121" s="115">
        <v>470.31</v>
      </c>
      <c r="I121" s="115">
        <v>1318.9929999999999</v>
      </c>
      <c r="J121" s="114">
        <v>6</v>
      </c>
      <c r="K121">
        <f t="shared" si="7"/>
        <v>6</v>
      </c>
    </row>
    <row r="122" spans="1:11" x14ac:dyDescent="0.25">
      <c r="A122" t="str">
        <f t="shared" si="5"/>
        <v>B3</v>
      </c>
      <c r="B122">
        <v>143</v>
      </c>
      <c r="C122" s="49" t="s">
        <v>39</v>
      </c>
      <c r="D122">
        <v>3</v>
      </c>
      <c r="E122" s="49" t="s">
        <v>40</v>
      </c>
      <c r="F122" s="50" t="s">
        <v>382</v>
      </c>
      <c r="G122" s="115">
        <v>258.298</v>
      </c>
      <c r="H122" s="115">
        <v>441.202</v>
      </c>
      <c r="I122" s="115">
        <v>1257.3420000000001</v>
      </c>
      <c r="J122" s="114">
        <v>6</v>
      </c>
      <c r="K122">
        <f t="shared" si="7"/>
        <v>6</v>
      </c>
    </row>
    <row r="123" spans="1:11" x14ac:dyDescent="0.25">
      <c r="A123" t="str">
        <f t="shared" si="5"/>
        <v>BETA3</v>
      </c>
      <c r="B123">
        <v>153</v>
      </c>
      <c r="C123" s="24" t="s">
        <v>584</v>
      </c>
      <c r="D123">
        <v>3</v>
      </c>
      <c r="E123" s="48" t="s">
        <v>142</v>
      </c>
      <c r="F123" s="36" t="s">
        <v>383</v>
      </c>
      <c r="G123" s="115">
        <v>234.869</v>
      </c>
      <c r="H123" s="115">
        <v>124.801</v>
      </c>
      <c r="I123" s="115">
        <v>30.318999999999999</v>
      </c>
      <c r="J123" s="114">
        <v>6</v>
      </c>
      <c r="K123">
        <f t="shared" si="7"/>
        <v>6</v>
      </c>
    </row>
    <row r="124" spans="1:11" x14ac:dyDescent="0.25">
      <c r="A124" t="str">
        <f t="shared" si="5"/>
        <v>D3</v>
      </c>
      <c r="B124">
        <v>145</v>
      </c>
      <c r="C124" s="49" t="s">
        <v>45</v>
      </c>
      <c r="D124">
        <v>3</v>
      </c>
      <c r="E124" s="49" t="s">
        <v>40</v>
      </c>
      <c r="F124" s="50" t="s">
        <v>383</v>
      </c>
      <c r="G124" s="115">
        <v>136.21100000000001</v>
      </c>
      <c r="H124" s="115">
        <v>342.27199999999999</v>
      </c>
      <c r="I124" s="115">
        <v>200.84299999999999</v>
      </c>
      <c r="J124" s="114">
        <v>6</v>
      </c>
      <c r="K124">
        <f t="shared" si="7"/>
        <v>6</v>
      </c>
    </row>
    <row r="125" spans="1:11" x14ac:dyDescent="0.25">
      <c r="A125" t="str">
        <f t="shared" si="5"/>
        <v>G3</v>
      </c>
      <c r="B125">
        <v>164</v>
      </c>
      <c r="C125" s="106" t="s">
        <v>51</v>
      </c>
      <c r="D125">
        <v>3</v>
      </c>
      <c r="E125" s="48" t="s">
        <v>71</v>
      </c>
      <c r="F125" s="51" t="s">
        <v>382</v>
      </c>
      <c r="G125" s="115">
        <v>0</v>
      </c>
      <c r="H125" s="115">
        <v>0</v>
      </c>
      <c r="I125" s="115">
        <v>0</v>
      </c>
      <c r="J125" s="114">
        <v>6</v>
      </c>
      <c r="K125">
        <f t="shared" si="7"/>
        <v>6</v>
      </c>
    </row>
    <row r="126" spans="1:11" x14ac:dyDescent="0.25">
      <c r="A126" t="str">
        <f t="shared" si="5"/>
        <v>GAMMA3</v>
      </c>
      <c r="B126">
        <v>148</v>
      </c>
      <c r="C126" s="49" t="s">
        <v>585</v>
      </c>
      <c r="D126">
        <v>3</v>
      </c>
      <c r="E126" s="49" t="s">
        <v>40</v>
      </c>
      <c r="F126" s="50" t="s">
        <v>383</v>
      </c>
      <c r="G126" s="115">
        <v>208.672</v>
      </c>
      <c r="H126" s="115">
        <v>696.88900000000001</v>
      </c>
      <c r="I126" s="115">
        <v>1325.6659999999999</v>
      </c>
      <c r="J126" s="114">
        <v>6</v>
      </c>
      <c r="K126">
        <f t="shared" si="7"/>
        <v>6</v>
      </c>
    </row>
    <row r="127" spans="1:11" x14ac:dyDescent="0.25">
      <c r="A127" t="str">
        <f t="shared" si="5"/>
        <v>H3</v>
      </c>
      <c r="B127">
        <v>146</v>
      </c>
      <c r="C127" s="49" t="s">
        <v>53</v>
      </c>
      <c r="D127">
        <v>3</v>
      </c>
      <c r="E127" s="49" t="s">
        <v>40</v>
      </c>
      <c r="F127" s="50" t="s">
        <v>382</v>
      </c>
      <c r="G127" s="115">
        <v>375.30200000000002</v>
      </c>
      <c r="H127" s="115">
        <v>556.04700000000003</v>
      </c>
      <c r="I127" s="115">
        <v>1390.6769999999999</v>
      </c>
      <c r="J127" s="114">
        <v>6</v>
      </c>
      <c r="K127">
        <f t="shared" si="7"/>
        <v>6</v>
      </c>
    </row>
    <row r="128" spans="1:11" x14ac:dyDescent="0.25">
      <c r="A128" t="str">
        <f t="shared" si="5"/>
        <v>I3</v>
      </c>
      <c r="B128">
        <v>152</v>
      </c>
      <c r="C128" s="49" t="s">
        <v>56</v>
      </c>
      <c r="D128">
        <v>3</v>
      </c>
      <c r="E128" s="49" t="s">
        <v>142</v>
      </c>
      <c r="F128" s="50" t="s">
        <v>382</v>
      </c>
      <c r="G128" s="115">
        <v>98.007999999999996</v>
      </c>
      <c r="H128" s="115">
        <v>134.322</v>
      </c>
      <c r="I128" s="115">
        <v>70.784000000000006</v>
      </c>
      <c r="J128" s="114">
        <v>6</v>
      </c>
      <c r="K128">
        <f t="shared" si="7"/>
        <v>6</v>
      </c>
    </row>
    <row r="129" spans="1:11" x14ac:dyDescent="0.25">
      <c r="A129" t="str">
        <f t="shared" si="5"/>
        <v>J3</v>
      </c>
      <c r="B129">
        <v>155</v>
      </c>
      <c r="C129" s="6" t="s">
        <v>80</v>
      </c>
      <c r="D129">
        <v>3</v>
      </c>
      <c r="E129" s="48" t="s">
        <v>40</v>
      </c>
      <c r="F129" s="5" t="s">
        <v>383</v>
      </c>
      <c r="G129" s="115">
        <v>441.262</v>
      </c>
      <c r="H129" s="115">
        <v>274.63099999999997</v>
      </c>
      <c r="I129" s="115">
        <v>369.78699999999998</v>
      </c>
      <c r="J129" s="114">
        <v>6</v>
      </c>
      <c r="K129">
        <f t="shared" si="7"/>
        <v>6</v>
      </c>
    </row>
    <row r="130" spans="1:11" x14ac:dyDescent="0.25">
      <c r="A130" t="str">
        <f t="shared" si="5"/>
        <v>K3</v>
      </c>
      <c r="B130">
        <v>161</v>
      </c>
      <c r="C130" s="52" t="s">
        <v>82</v>
      </c>
      <c r="D130">
        <v>3</v>
      </c>
      <c r="E130" s="48" t="s">
        <v>54</v>
      </c>
      <c r="F130" s="53" t="s">
        <v>382</v>
      </c>
      <c r="G130" s="115">
        <v>0</v>
      </c>
      <c r="H130" s="115">
        <v>0</v>
      </c>
      <c r="I130" s="115">
        <v>0</v>
      </c>
      <c r="J130" s="114">
        <v>6</v>
      </c>
      <c r="K130">
        <f t="shared" si="7"/>
        <v>6</v>
      </c>
    </row>
    <row r="131" spans="1:11" x14ac:dyDescent="0.25">
      <c r="A131" t="str">
        <f t="shared" si="5"/>
        <v>L3</v>
      </c>
      <c r="B131">
        <v>151</v>
      </c>
      <c r="C131" s="49" t="s">
        <v>58</v>
      </c>
      <c r="D131">
        <v>3</v>
      </c>
      <c r="E131" s="49" t="s">
        <v>142</v>
      </c>
      <c r="F131" s="50" t="s">
        <v>383</v>
      </c>
      <c r="G131" s="115">
        <v>552.71500000000003</v>
      </c>
      <c r="H131" s="115">
        <v>897.21799999999996</v>
      </c>
      <c r="I131" s="115">
        <v>1632.653</v>
      </c>
      <c r="J131" s="114">
        <v>6</v>
      </c>
      <c r="K131">
        <f t="shared" si="7"/>
        <v>6</v>
      </c>
    </row>
    <row r="132" spans="1:11" x14ac:dyDescent="0.25">
      <c r="A132" t="str">
        <f t="shared" si="5"/>
        <v>N3</v>
      </c>
      <c r="B132">
        <v>159</v>
      </c>
      <c r="C132" s="25" t="s">
        <v>62</v>
      </c>
      <c r="D132">
        <v>3</v>
      </c>
      <c r="E132" s="48" t="s">
        <v>146</v>
      </c>
      <c r="F132" s="26" t="s">
        <v>383</v>
      </c>
      <c r="G132" s="115">
        <v>258.97500000000002</v>
      </c>
      <c r="H132" s="115">
        <v>135.69399999999999</v>
      </c>
      <c r="I132" s="115">
        <v>151.54300000000001</v>
      </c>
      <c r="J132" s="114">
        <v>6</v>
      </c>
      <c r="K132">
        <f t="shared" si="7"/>
        <v>6</v>
      </c>
    </row>
    <row r="133" spans="1:11" x14ac:dyDescent="0.25">
      <c r="A133" t="str">
        <f t="shared" si="5"/>
        <v>O3</v>
      </c>
      <c r="B133">
        <v>157</v>
      </c>
      <c r="C133" s="25" t="s">
        <v>64</v>
      </c>
      <c r="D133">
        <v>3</v>
      </c>
      <c r="E133" s="48" t="s">
        <v>146</v>
      </c>
      <c r="F133" s="26" t="s">
        <v>382</v>
      </c>
      <c r="G133" s="115">
        <v>90.843999999999994</v>
      </c>
      <c r="H133" s="115">
        <v>68.186000000000007</v>
      </c>
      <c r="I133" s="115">
        <v>0</v>
      </c>
      <c r="J133" s="114">
        <v>6</v>
      </c>
      <c r="K133">
        <f t="shared" si="7"/>
        <v>6</v>
      </c>
    </row>
    <row r="134" spans="1:11" x14ac:dyDescent="0.25">
      <c r="A134" t="str">
        <f t="shared" si="5"/>
        <v>P3</v>
      </c>
      <c r="C134" s="49" t="s">
        <v>66</v>
      </c>
      <c r="D134">
        <v>3</v>
      </c>
      <c r="E134" s="49" t="s">
        <v>71</v>
      </c>
      <c r="F134" s="50" t="s">
        <v>383</v>
      </c>
      <c r="G134" s="115">
        <v>7.4790000000000001</v>
      </c>
      <c r="H134" s="115">
        <v>0</v>
      </c>
      <c r="I134" s="115">
        <v>0</v>
      </c>
      <c r="J134" s="114">
        <v>6</v>
      </c>
      <c r="K134">
        <f t="shared" si="7"/>
        <v>6</v>
      </c>
    </row>
    <row r="135" spans="1:11" x14ac:dyDescent="0.25">
      <c r="A135" t="str">
        <f t="shared" si="5"/>
        <v>Q3</v>
      </c>
      <c r="B135">
        <v>165</v>
      </c>
      <c r="C135" s="52" t="s">
        <v>385</v>
      </c>
      <c r="D135">
        <v>3</v>
      </c>
      <c r="E135" s="48" t="s">
        <v>54</v>
      </c>
      <c r="F135" s="53" t="s">
        <v>383</v>
      </c>
      <c r="G135" s="115">
        <v>0</v>
      </c>
      <c r="H135" s="115">
        <v>0</v>
      </c>
      <c r="I135" s="115">
        <v>0</v>
      </c>
      <c r="J135" s="114">
        <v>6</v>
      </c>
      <c r="K135">
        <f t="shared" si="7"/>
        <v>6</v>
      </c>
    </row>
    <row r="136" spans="1:11" x14ac:dyDescent="0.25">
      <c r="A136" t="str">
        <f t="shared" si="5"/>
        <v>R3</v>
      </c>
      <c r="B136">
        <v>160</v>
      </c>
      <c r="C136" s="106" t="s">
        <v>68</v>
      </c>
      <c r="D136">
        <v>3</v>
      </c>
      <c r="E136" s="48" t="s">
        <v>71</v>
      </c>
      <c r="F136" s="51" t="s">
        <v>383</v>
      </c>
      <c r="G136" s="115">
        <v>6.6909999999999998</v>
      </c>
      <c r="H136" s="115">
        <v>0</v>
      </c>
      <c r="I136" s="115">
        <v>0</v>
      </c>
      <c r="J136" s="114">
        <v>6</v>
      </c>
      <c r="K136">
        <f t="shared" si="7"/>
        <v>6</v>
      </c>
    </row>
    <row r="137" spans="1:11" x14ac:dyDescent="0.25">
      <c r="A137" t="str">
        <f t="shared" si="5"/>
        <v>T3</v>
      </c>
      <c r="B137">
        <v>144</v>
      </c>
      <c r="C137" s="49" t="s">
        <v>386</v>
      </c>
      <c r="D137">
        <v>3</v>
      </c>
      <c r="E137" s="49" t="s">
        <v>146</v>
      </c>
      <c r="F137" s="50" t="s">
        <v>383</v>
      </c>
      <c r="G137" s="115">
        <v>628.54700000000003</v>
      </c>
      <c r="H137" s="115">
        <v>382</v>
      </c>
      <c r="I137" s="115">
        <v>713.62199999999996</v>
      </c>
      <c r="J137" s="114">
        <v>6</v>
      </c>
      <c r="K137">
        <f t="shared" si="7"/>
        <v>6</v>
      </c>
    </row>
    <row r="138" spans="1:11" x14ac:dyDescent="0.25">
      <c r="A138" t="str">
        <f t="shared" si="5"/>
        <v>U3</v>
      </c>
      <c r="B138">
        <v>142</v>
      </c>
      <c r="C138" s="49" t="s">
        <v>388</v>
      </c>
      <c r="D138">
        <v>3</v>
      </c>
      <c r="E138" s="49" t="s">
        <v>146</v>
      </c>
      <c r="F138" s="50" t="s">
        <v>382</v>
      </c>
      <c r="G138" s="115">
        <v>1020.837</v>
      </c>
      <c r="H138" s="115">
        <v>1219.807</v>
      </c>
      <c r="I138" s="115">
        <v>3956.451</v>
      </c>
      <c r="J138" s="114">
        <v>6</v>
      </c>
      <c r="K138">
        <f t="shared" si="7"/>
        <v>6</v>
      </c>
    </row>
    <row r="139" spans="1:11" x14ac:dyDescent="0.25">
      <c r="A139" t="str">
        <f t="shared" si="5"/>
        <v>V3</v>
      </c>
      <c r="B139">
        <v>158</v>
      </c>
      <c r="C139" s="25" t="s">
        <v>389</v>
      </c>
      <c r="D139">
        <v>3</v>
      </c>
      <c r="E139" s="48" t="s">
        <v>146</v>
      </c>
      <c r="F139" s="26" t="s">
        <v>382</v>
      </c>
      <c r="G139" s="115">
        <v>148.714</v>
      </c>
      <c r="H139" s="115">
        <v>181.14</v>
      </c>
      <c r="I139" s="115">
        <v>82.254000000000005</v>
      </c>
      <c r="J139" s="114">
        <v>6</v>
      </c>
      <c r="K139">
        <f t="shared" si="7"/>
        <v>6</v>
      </c>
    </row>
    <row r="140" spans="1:11" x14ac:dyDescent="0.25">
      <c r="A140" t="str">
        <f t="shared" si="5"/>
        <v>X3</v>
      </c>
      <c r="B140">
        <v>162</v>
      </c>
      <c r="C140" s="106" t="s">
        <v>390</v>
      </c>
      <c r="D140">
        <v>3</v>
      </c>
      <c r="E140" s="48" t="s">
        <v>71</v>
      </c>
      <c r="F140" s="51" t="s">
        <v>382</v>
      </c>
      <c r="G140" s="115">
        <v>457.02199999999999</v>
      </c>
      <c r="H140" s="115">
        <v>0</v>
      </c>
      <c r="I140" s="115">
        <v>0</v>
      </c>
      <c r="J140" s="114">
        <v>6</v>
      </c>
      <c r="K140">
        <f t="shared" si="7"/>
        <v>6</v>
      </c>
    </row>
    <row r="141" spans="1:11" x14ac:dyDescent="0.25">
      <c r="A141" t="str">
        <f t="shared" si="5"/>
        <v>Y3</v>
      </c>
      <c r="B141">
        <v>156</v>
      </c>
      <c r="C141" s="25" t="s">
        <v>384</v>
      </c>
      <c r="D141">
        <v>3</v>
      </c>
      <c r="E141" s="48" t="s">
        <v>146</v>
      </c>
      <c r="F141" s="26" t="s">
        <v>382</v>
      </c>
      <c r="G141" s="115">
        <v>289.76400000000001</v>
      </c>
      <c r="H141" s="115">
        <v>73.516999999999996</v>
      </c>
      <c r="I141" s="115">
        <v>9.8219999999999992</v>
      </c>
      <c r="J141" s="114">
        <v>6</v>
      </c>
      <c r="K141">
        <f t="shared" si="7"/>
        <v>6</v>
      </c>
    </row>
    <row r="142" spans="1:11" x14ac:dyDescent="0.25">
      <c r="A142" t="str">
        <f t="shared" si="5"/>
        <v>Æ3</v>
      </c>
      <c r="B142">
        <v>163</v>
      </c>
      <c r="C142" s="52" t="s">
        <v>202</v>
      </c>
      <c r="D142">
        <v>3</v>
      </c>
      <c r="E142" s="48" t="s">
        <v>54</v>
      </c>
      <c r="F142" s="53" t="s">
        <v>382</v>
      </c>
      <c r="G142" s="115">
        <v>0</v>
      </c>
      <c r="H142" s="115">
        <v>0</v>
      </c>
      <c r="I142" s="115">
        <v>0</v>
      </c>
      <c r="J142" s="114">
        <v>6</v>
      </c>
      <c r="K142">
        <f t="shared" si="7"/>
        <v>6</v>
      </c>
    </row>
    <row r="143" spans="1:11" x14ac:dyDescent="0.25">
      <c r="A143" t="str">
        <f t="shared" si="5"/>
        <v>Ø3</v>
      </c>
      <c r="B143">
        <v>154</v>
      </c>
      <c r="C143" s="24" t="s">
        <v>175</v>
      </c>
      <c r="D143">
        <v>3</v>
      </c>
      <c r="E143" s="48" t="s">
        <v>142</v>
      </c>
      <c r="F143" s="36" t="s">
        <v>382</v>
      </c>
      <c r="G143" s="115">
        <v>573.73400000000004</v>
      </c>
      <c r="H143" s="115">
        <v>469.27100000000002</v>
      </c>
      <c r="I143" s="115">
        <v>483.95499999999998</v>
      </c>
      <c r="J143" s="114">
        <v>6</v>
      </c>
      <c r="K143">
        <f t="shared" si="7"/>
        <v>6</v>
      </c>
    </row>
    <row r="144" spans="1:11" x14ac:dyDescent="0.25">
      <c r="A144" t="str">
        <f t="shared" si="5"/>
        <v>Å3</v>
      </c>
      <c r="B144">
        <v>147</v>
      </c>
      <c r="C144" s="49" t="s">
        <v>145</v>
      </c>
      <c r="D144">
        <v>3</v>
      </c>
      <c r="E144" s="49" t="s">
        <v>142</v>
      </c>
      <c r="F144" s="50" t="s">
        <v>382</v>
      </c>
      <c r="G144" s="115">
        <v>461.005</v>
      </c>
      <c r="H144" s="115">
        <v>268.34300000000002</v>
      </c>
      <c r="I144" s="115">
        <v>295.81200000000001</v>
      </c>
      <c r="J144" s="114">
        <v>6</v>
      </c>
      <c r="K144">
        <f t="shared" si="7"/>
        <v>6</v>
      </c>
    </row>
    <row r="145" spans="1:11" x14ac:dyDescent="0.25">
      <c r="A145" t="str">
        <f t="shared" si="5"/>
        <v>A1</v>
      </c>
      <c r="B145">
        <v>999</v>
      </c>
      <c r="C145" s="24" t="s">
        <v>36</v>
      </c>
      <c r="D145">
        <v>1</v>
      </c>
      <c r="E145" s="16" t="s">
        <v>142</v>
      </c>
      <c r="F145" s="30" t="s">
        <v>60</v>
      </c>
      <c r="G145" s="102"/>
      <c r="H145" s="102"/>
      <c r="I145" s="102"/>
      <c r="J145" s="114">
        <v>12</v>
      </c>
      <c r="K145">
        <f t="shared" si="7"/>
        <v>12</v>
      </c>
    </row>
    <row r="146" spans="1:11" x14ac:dyDescent="0.25">
      <c r="A146" t="str">
        <f t="shared" si="5"/>
        <v>B1</v>
      </c>
      <c r="B146">
        <v>999</v>
      </c>
      <c r="C146" s="6" t="s">
        <v>39</v>
      </c>
      <c r="D146">
        <v>1</v>
      </c>
      <c r="E146" s="18" t="s">
        <v>40</v>
      </c>
      <c r="F146" s="31" t="s">
        <v>49</v>
      </c>
      <c r="G146" s="114">
        <v>42.426000000000002</v>
      </c>
      <c r="H146" s="114">
        <v>140.53899999999999</v>
      </c>
      <c r="I146" s="114">
        <v>3220.9589999999998</v>
      </c>
      <c r="J146" s="114">
        <v>12</v>
      </c>
    </row>
    <row r="147" spans="1:11" x14ac:dyDescent="0.25">
      <c r="A147" t="str">
        <f t="shared" ref="A147:A210" si="8">C147&amp;D147</f>
        <v>C1</v>
      </c>
      <c r="C147" s="25" t="s">
        <v>43</v>
      </c>
      <c r="D147">
        <v>1</v>
      </c>
      <c r="E147" s="17" t="s">
        <v>146</v>
      </c>
      <c r="F147" s="32" t="s">
        <v>49</v>
      </c>
      <c r="G147" s="114">
        <v>345.55500000000001</v>
      </c>
      <c r="H147" s="114">
        <v>203.476</v>
      </c>
      <c r="I147" s="114">
        <v>2526.8510000000001</v>
      </c>
      <c r="J147" s="114">
        <v>12</v>
      </c>
      <c r="K147">
        <f t="shared" ref="K147:K153" si="9">J147</f>
        <v>12</v>
      </c>
    </row>
    <row r="148" spans="1:11" x14ac:dyDescent="0.25">
      <c r="A148" t="str">
        <f t="shared" si="8"/>
        <v>D1</v>
      </c>
      <c r="C148" s="25" t="s">
        <v>45</v>
      </c>
      <c r="D148">
        <v>1</v>
      </c>
      <c r="E148" s="17" t="s">
        <v>146</v>
      </c>
      <c r="F148" s="32" t="s">
        <v>49</v>
      </c>
      <c r="J148" s="114">
        <v>12</v>
      </c>
      <c r="K148">
        <f t="shared" si="9"/>
        <v>12</v>
      </c>
    </row>
    <row r="149" spans="1:11" x14ac:dyDescent="0.25">
      <c r="A149" t="str">
        <f t="shared" si="8"/>
        <v>E1</v>
      </c>
      <c r="B149">
        <v>108</v>
      </c>
      <c r="C149" s="25" t="s">
        <v>47</v>
      </c>
      <c r="D149">
        <v>1</v>
      </c>
      <c r="E149" s="17" t="s">
        <v>146</v>
      </c>
      <c r="F149" s="32" t="s">
        <v>60</v>
      </c>
      <c r="G149" s="114">
        <v>144.29300000000001</v>
      </c>
      <c r="H149" s="114">
        <v>314.61599999999999</v>
      </c>
      <c r="I149" s="114">
        <v>3003.9009999999998</v>
      </c>
      <c r="J149" s="114">
        <v>12</v>
      </c>
      <c r="K149">
        <f t="shared" si="9"/>
        <v>12</v>
      </c>
    </row>
    <row r="150" spans="1:11" x14ac:dyDescent="0.25">
      <c r="A150" t="str">
        <f t="shared" si="8"/>
        <v>F1</v>
      </c>
      <c r="B150">
        <v>105</v>
      </c>
      <c r="C150" s="6" t="s">
        <v>49</v>
      </c>
      <c r="D150">
        <v>1</v>
      </c>
      <c r="E150" s="22" t="s">
        <v>40</v>
      </c>
      <c r="F150" s="31" t="s">
        <v>49</v>
      </c>
      <c r="G150" s="114">
        <v>30.196999999999999</v>
      </c>
      <c r="H150" s="114">
        <v>0</v>
      </c>
      <c r="I150" s="114">
        <v>1739.3430000000001</v>
      </c>
      <c r="J150" s="114">
        <v>12</v>
      </c>
      <c r="K150">
        <f t="shared" si="9"/>
        <v>12</v>
      </c>
    </row>
    <row r="151" spans="1:11" x14ac:dyDescent="0.25">
      <c r="A151" t="str">
        <f t="shared" si="8"/>
        <v>G1</v>
      </c>
      <c r="B151">
        <v>106</v>
      </c>
      <c r="C151" s="25" t="s">
        <v>51</v>
      </c>
      <c r="D151">
        <v>1</v>
      </c>
      <c r="E151" s="17" t="s">
        <v>146</v>
      </c>
      <c r="F151" s="32" t="s">
        <v>49</v>
      </c>
      <c r="G151" s="114">
        <v>92.215999999999994</v>
      </c>
      <c r="H151" s="114">
        <v>59.033000000000001</v>
      </c>
      <c r="I151" s="114">
        <v>1329.537</v>
      </c>
      <c r="J151" s="114">
        <v>12</v>
      </c>
      <c r="K151">
        <f t="shared" si="9"/>
        <v>12</v>
      </c>
    </row>
    <row r="152" spans="1:11" x14ac:dyDescent="0.25">
      <c r="A152" t="str">
        <f t="shared" si="8"/>
        <v>H1</v>
      </c>
      <c r="B152">
        <v>111</v>
      </c>
      <c r="C152" s="1" t="s">
        <v>53</v>
      </c>
      <c r="D152">
        <v>1</v>
      </c>
      <c r="E152" s="4" t="s">
        <v>54</v>
      </c>
      <c r="F152" s="33" t="s">
        <v>60</v>
      </c>
      <c r="G152" s="114">
        <v>0</v>
      </c>
      <c r="H152" s="114">
        <v>0</v>
      </c>
      <c r="I152" s="114">
        <v>8.9670000000000005</v>
      </c>
      <c r="J152" s="114">
        <v>12</v>
      </c>
      <c r="K152">
        <f t="shared" si="9"/>
        <v>12</v>
      </c>
    </row>
    <row r="153" spans="1:11" x14ac:dyDescent="0.25">
      <c r="A153" t="str">
        <f t="shared" si="8"/>
        <v>I1</v>
      </c>
      <c r="B153">
        <v>107</v>
      </c>
      <c r="C153" s="6" t="s">
        <v>56</v>
      </c>
      <c r="D153">
        <v>1</v>
      </c>
      <c r="E153" s="18" t="s">
        <v>40</v>
      </c>
      <c r="F153" s="31" t="s">
        <v>60</v>
      </c>
      <c r="G153" s="114">
        <v>56.554000000000002</v>
      </c>
      <c r="H153" s="114">
        <v>42.866</v>
      </c>
      <c r="I153" s="114">
        <v>1074.259</v>
      </c>
      <c r="J153" s="114">
        <v>12</v>
      </c>
      <c r="K153">
        <f t="shared" si="9"/>
        <v>12</v>
      </c>
    </row>
    <row r="154" spans="1:11" x14ac:dyDescent="0.25">
      <c r="A154" t="str">
        <f t="shared" si="8"/>
        <v>J1</v>
      </c>
      <c r="C154" s="24" t="s">
        <v>80</v>
      </c>
      <c r="D154">
        <v>1</v>
      </c>
      <c r="E154" s="15" t="s">
        <v>142</v>
      </c>
      <c r="F154" s="30" t="s">
        <v>60</v>
      </c>
      <c r="G154" s="114">
        <v>177.49700000000001</v>
      </c>
      <c r="H154" s="114">
        <v>156.84800000000001</v>
      </c>
      <c r="I154" s="114">
        <v>1885.732</v>
      </c>
      <c r="J154" s="114">
        <v>12</v>
      </c>
    </row>
    <row r="155" spans="1:11" x14ac:dyDescent="0.25">
      <c r="A155" t="str">
        <f t="shared" si="8"/>
        <v>K1</v>
      </c>
      <c r="C155" s="2" t="s">
        <v>82</v>
      </c>
      <c r="D155">
        <v>1</v>
      </c>
      <c r="E155" s="23" t="s">
        <v>71</v>
      </c>
      <c r="F155" s="110" t="s">
        <v>60</v>
      </c>
      <c r="G155" s="114">
        <v>45.853000000000002</v>
      </c>
      <c r="H155" s="114">
        <v>0</v>
      </c>
      <c r="I155" s="114">
        <v>53.636000000000003</v>
      </c>
      <c r="J155" s="114">
        <v>12</v>
      </c>
      <c r="K155">
        <f t="shared" ref="K155:K167" si="10">J155</f>
        <v>12</v>
      </c>
    </row>
    <row r="156" spans="1:11" x14ac:dyDescent="0.25">
      <c r="A156" t="str">
        <f t="shared" si="8"/>
        <v>L1</v>
      </c>
      <c r="B156">
        <v>113</v>
      </c>
      <c r="C156" s="1" t="s">
        <v>58</v>
      </c>
      <c r="D156">
        <v>1</v>
      </c>
      <c r="E156" s="4" t="s">
        <v>54</v>
      </c>
      <c r="F156" s="33" t="s">
        <v>49</v>
      </c>
      <c r="G156" s="114">
        <v>0</v>
      </c>
      <c r="H156" s="114">
        <v>0</v>
      </c>
      <c r="I156" s="114">
        <v>10.885</v>
      </c>
      <c r="J156" s="114">
        <v>12</v>
      </c>
      <c r="K156">
        <f t="shared" si="10"/>
        <v>12</v>
      </c>
    </row>
    <row r="157" spans="1:11" x14ac:dyDescent="0.25">
      <c r="A157" t="str">
        <f t="shared" si="8"/>
        <v>M1</v>
      </c>
      <c r="B157">
        <v>114</v>
      </c>
      <c r="C157" s="24" t="s">
        <v>60</v>
      </c>
      <c r="D157">
        <v>1</v>
      </c>
      <c r="E157" s="15" t="s">
        <v>142</v>
      </c>
      <c r="F157" s="30" t="s">
        <v>49</v>
      </c>
      <c r="G157" s="114">
        <v>26.960999999999999</v>
      </c>
      <c r="H157" s="114">
        <v>56.43</v>
      </c>
      <c r="I157" s="114">
        <v>440.24599999999998</v>
      </c>
      <c r="J157" s="114">
        <v>12</v>
      </c>
      <c r="K157">
        <f t="shared" si="10"/>
        <v>12</v>
      </c>
    </row>
    <row r="158" spans="1:11" x14ac:dyDescent="0.25">
      <c r="A158" t="str">
        <f t="shared" si="8"/>
        <v>N1</v>
      </c>
      <c r="C158" s="6" t="s">
        <v>62</v>
      </c>
      <c r="D158">
        <v>1</v>
      </c>
      <c r="E158" s="22" t="s">
        <v>40</v>
      </c>
      <c r="F158" s="31" t="s">
        <v>60</v>
      </c>
      <c r="G158" s="114">
        <v>113.21899999999999</v>
      </c>
      <c r="H158" s="114">
        <v>169.874</v>
      </c>
      <c r="I158" s="114">
        <v>5356.8509999999997</v>
      </c>
      <c r="J158" s="114">
        <v>12</v>
      </c>
      <c r="K158">
        <f t="shared" si="10"/>
        <v>12</v>
      </c>
    </row>
    <row r="159" spans="1:11" x14ac:dyDescent="0.25">
      <c r="A159" t="str">
        <f t="shared" si="8"/>
        <v>O1</v>
      </c>
      <c r="C159" s="25" t="s">
        <v>64</v>
      </c>
      <c r="D159">
        <v>1</v>
      </c>
      <c r="E159" s="17" t="s">
        <v>146</v>
      </c>
      <c r="F159" s="32" t="s">
        <v>60</v>
      </c>
      <c r="G159" s="114">
        <v>25.236999999999998</v>
      </c>
      <c r="H159" s="114">
        <v>32.871000000000002</v>
      </c>
      <c r="I159" s="114">
        <v>1101.201</v>
      </c>
      <c r="J159" s="114">
        <v>12</v>
      </c>
      <c r="K159">
        <f t="shared" si="10"/>
        <v>12</v>
      </c>
    </row>
    <row r="160" spans="1:11" x14ac:dyDescent="0.25">
      <c r="A160" t="str">
        <f t="shared" si="8"/>
        <v>P1</v>
      </c>
      <c r="C160" s="24" t="s">
        <v>66</v>
      </c>
      <c r="D160">
        <v>1</v>
      </c>
      <c r="E160" s="15" t="s">
        <v>142</v>
      </c>
      <c r="F160" s="30" t="s">
        <v>60</v>
      </c>
      <c r="G160" s="114"/>
      <c r="H160" s="114"/>
      <c r="I160" s="114"/>
      <c r="J160" s="114">
        <v>12</v>
      </c>
      <c r="K160">
        <f t="shared" si="10"/>
        <v>12</v>
      </c>
    </row>
    <row r="161" spans="1:11" x14ac:dyDescent="0.25">
      <c r="A161" t="str">
        <f t="shared" si="8"/>
        <v>R1</v>
      </c>
      <c r="B161">
        <v>104</v>
      </c>
      <c r="C161" s="24" t="s">
        <v>68</v>
      </c>
      <c r="D161">
        <v>1</v>
      </c>
      <c r="E161" s="16" t="s">
        <v>142</v>
      </c>
      <c r="F161" s="30" t="s">
        <v>49</v>
      </c>
      <c r="G161" s="114">
        <v>38.369</v>
      </c>
      <c r="H161" s="114">
        <v>183.85599999999999</v>
      </c>
      <c r="I161" s="114">
        <v>1934.079</v>
      </c>
      <c r="J161" s="114">
        <v>12</v>
      </c>
      <c r="K161">
        <f t="shared" si="10"/>
        <v>12</v>
      </c>
    </row>
    <row r="162" spans="1:11" x14ac:dyDescent="0.25">
      <c r="A162" t="str">
        <f t="shared" si="8"/>
        <v>S1</v>
      </c>
      <c r="B162">
        <v>112</v>
      </c>
      <c r="C162" s="2" t="s">
        <v>70</v>
      </c>
      <c r="D162">
        <v>1</v>
      </c>
      <c r="E162" s="3" t="s">
        <v>71</v>
      </c>
      <c r="F162" s="110" t="s">
        <v>49</v>
      </c>
      <c r="G162" s="114">
        <v>55.417999999999999</v>
      </c>
      <c r="H162" s="114">
        <v>0</v>
      </c>
      <c r="I162" s="114">
        <v>88.667000000000002</v>
      </c>
      <c r="J162" s="114">
        <v>12</v>
      </c>
      <c r="K162">
        <f t="shared" si="10"/>
        <v>12</v>
      </c>
    </row>
    <row r="163" spans="1:11" x14ac:dyDescent="0.25">
      <c r="A163" t="str">
        <f t="shared" si="8"/>
        <v>A2</v>
      </c>
      <c r="B163">
        <v>117</v>
      </c>
      <c r="C163" s="15" t="s">
        <v>36</v>
      </c>
      <c r="D163">
        <v>2</v>
      </c>
      <c r="E163" s="16" t="s">
        <v>142</v>
      </c>
      <c r="F163" s="122" t="s">
        <v>383</v>
      </c>
      <c r="G163" s="114">
        <v>345.13499999999999</v>
      </c>
      <c r="H163" s="114">
        <v>181.14</v>
      </c>
      <c r="I163" s="114">
        <v>4378.1729999999998</v>
      </c>
      <c r="J163" s="114">
        <v>12</v>
      </c>
      <c r="K163">
        <f t="shared" si="10"/>
        <v>12</v>
      </c>
    </row>
    <row r="164" spans="1:11" x14ac:dyDescent="0.25">
      <c r="A164" t="str">
        <f t="shared" si="8"/>
        <v>B2</v>
      </c>
      <c r="B164">
        <v>123</v>
      </c>
      <c r="C164" s="15" t="s">
        <v>39</v>
      </c>
      <c r="D164">
        <v>2</v>
      </c>
      <c r="E164" s="15" t="s">
        <v>142</v>
      </c>
      <c r="F164" s="29" t="s">
        <v>382</v>
      </c>
      <c r="G164" s="114">
        <v>123.25700000000001</v>
      </c>
      <c r="H164" s="114">
        <v>416.48399999999998</v>
      </c>
      <c r="I164" s="114">
        <v>1210.53</v>
      </c>
      <c r="J164" s="114">
        <v>12</v>
      </c>
      <c r="K164">
        <f t="shared" si="10"/>
        <v>12</v>
      </c>
    </row>
    <row r="165" spans="1:11" x14ac:dyDescent="0.25">
      <c r="A165" t="str">
        <f t="shared" si="8"/>
        <v>C2</v>
      </c>
      <c r="B165">
        <v>126</v>
      </c>
      <c r="C165" s="15" t="s">
        <v>43</v>
      </c>
      <c r="D165">
        <v>2</v>
      </c>
      <c r="E165" s="15" t="s">
        <v>142</v>
      </c>
      <c r="F165" s="29" t="s">
        <v>382</v>
      </c>
      <c r="G165" s="114">
        <v>226.90600000000001</v>
      </c>
      <c r="H165">
        <v>167.59700000000001</v>
      </c>
      <c r="I165" s="114">
        <v>814.86099999999999</v>
      </c>
      <c r="J165" s="114">
        <v>12</v>
      </c>
      <c r="K165">
        <f t="shared" si="10"/>
        <v>12</v>
      </c>
    </row>
    <row r="166" spans="1:11" x14ac:dyDescent="0.25">
      <c r="A166" t="str">
        <f t="shared" si="8"/>
        <v>D2</v>
      </c>
      <c r="B166">
        <v>136</v>
      </c>
      <c r="C166" s="17" t="s">
        <v>45</v>
      </c>
      <c r="D166">
        <v>2</v>
      </c>
      <c r="E166" s="17" t="s">
        <v>146</v>
      </c>
      <c r="F166" s="107" t="s">
        <v>382</v>
      </c>
      <c r="G166" s="114">
        <v>99.956999999999994</v>
      </c>
      <c r="H166" s="114">
        <v>150.69800000000001</v>
      </c>
      <c r="I166" s="114">
        <v>1189.079</v>
      </c>
      <c r="J166" s="114">
        <v>12</v>
      </c>
      <c r="K166">
        <f t="shared" si="10"/>
        <v>12</v>
      </c>
    </row>
    <row r="167" spans="1:11" x14ac:dyDescent="0.25">
      <c r="A167" t="str">
        <f t="shared" si="8"/>
        <v>E2</v>
      </c>
      <c r="B167">
        <v>133</v>
      </c>
      <c r="C167" s="17" t="s">
        <v>47</v>
      </c>
      <c r="D167">
        <v>2</v>
      </c>
      <c r="E167" s="17" t="s">
        <v>146</v>
      </c>
      <c r="F167" s="107" t="s">
        <v>382</v>
      </c>
      <c r="G167" s="114">
        <v>127.79900000000001</v>
      </c>
      <c r="H167" s="114">
        <v>109.754</v>
      </c>
      <c r="I167" s="114">
        <v>134.73599999999999</v>
      </c>
      <c r="J167" s="114">
        <v>12</v>
      </c>
      <c r="K167">
        <f t="shared" si="10"/>
        <v>12</v>
      </c>
    </row>
    <row r="168" spans="1:11" x14ac:dyDescent="0.25">
      <c r="A168" t="str">
        <f t="shared" si="8"/>
        <v>F2</v>
      </c>
      <c r="B168">
        <v>119</v>
      </c>
      <c r="C168" s="18" t="s">
        <v>49</v>
      </c>
      <c r="D168">
        <v>2</v>
      </c>
      <c r="E168" s="18" t="s">
        <v>40</v>
      </c>
      <c r="F168" s="108" t="s">
        <v>383</v>
      </c>
      <c r="G168" s="114">
        <v>287.80099999999999</v>
      </c>
      <c r="H168" s="114">
        <v>269.59899999999999</v>
      </c>
      <c r="I168" s="114">
        <v>4988.9930000000004</v>
      </c>
      <c r="J168" s="114">
        <v>12</v>
      </c>
    </row>
    <row r="169" spans="1:11" x14ac:dyDescent="0.25">
      <c r="A169" t="str">
        <f t="shared" si="8"/>
        <v>G2</v>
      </c>
      <c r="B169">
        <v>135</v>
      </c>
      <c r="C169" s="4" t="s">
        <v>51</v>
      </c>
      <c r="D169">
        <v>2</v>
      </c>
      <c r="E169" s="4" t="s">
        <v>54</v>
      </c>
      <c r="F169" s="109" t="s">
        <v>382</v>
      </c>
      <c r="G169" s="114">
        <v>23.488</v>
      </c>
      <c r="H169" s="114">
        <v>0</v>
      </c>
      <c r="I169" s="114">
        <v>50.460999999999999</v>
      </c>
      <c r="J169" s="114">
        <v>12</v>
      </c>
      <c r="K169">
        <f t="shared" ref="K169:K179" si="11">J169</f>
        <v>12</v>
      </c>
    </row>
    <row r="170" spans="1:11" x14ac:dyDescent="0.25">
      <c r="A170" t="str">
        <f t="shared" si="8"/>
        <v>H2</v>
      </c>
      <c r="B170">
        <v>999</v>
      </c>
      <c r="C170" s="18" t="s">
        <v>53</v>
      </c>
      <c r="D170">
        <v>2</v>
      </c>
      <c r="E170" s="18" t="s">
        <v>40</v>
      </c>
      <c r="F170" s="108" t="s">
        <v>383</v>
      </c>
      <c r="G170" s="114"/>
      <c r="H170" s="114"/>
      <c r="I170" s="114"/>
      <c r="J170" s="114">
        <v>12</v>
      </c>
      <c r="K170">
        <f t="shared" si="11"/>
        <v>12</v>
      </c>
    </row>
    <row r="171" spans="1:11" x14ac:dyDescent="0.25">
      <c r="A171" t="str">
        <f t="shared" si="8"/>
        <v>I2</v>
      </c>
      <c r="B171">
        <v>132</v>
      </c>
      <c r="C171" s="4" t="s">
        <v>56</v>
      </c>
      <c r="D171">
        <v>2</v>
      </c>
      <c r="E171" s="4" t="s">
        <v>54</v>
      </c>
      <c r="F171" s="109" t="s">
        <v>383</v>
      </c>
      <c r="G171" s="114">
        <v>20.881</v>
      </c>
      <c r="H171" s="114">
        <v>0</v>
      </c>
      <c r="I171" s="114">
        <v>57.622999999999998</v>
      </c>
      <c r="J171" s="114">
        <v>12</v>
      </c>
      <c r="K171">
        <f t="shared" si="11"/>
        <v>12</v>
      </c>
    </row>
    <row r="172" spans="1:11" x14ac:dyDescent="0.25">
      <c r="A172" t="str">
        <f t="shared" si="8"/>
        <v>J2</v>
      </c>
      <c r="B172">
        <v>128</v>
      </c>
      <c r="C172" s="15" t="s">
        <v>80</v>
      </c>
      <c r="D172">
        <v>2</v>
      </c>
      <c r="E172" s="15" t="s">
        <v>142</v>
      </c>
      <c r="F172" s="29" t="s">
        <v>382</v>
      </c>
      <c r="G172" s="114">
        <v>95.751999999999995</v>
      </c>
      <c r="H172" s="114">
        <v>97.661000000000001</v>
      </c>
      <c r="I172" s="114">
        <v>267.15199999999999</v>
      </c>
      <c r="J172" s="114">
        <v>12</v>
      </c>
      <c r="K172">
        <f t="shared" si="11"/>
        <v>12</v>
      </c>
    </row>
    <row r="173" spans="1:11" x14ac:dyDescent="0.25">
      <c r="A173" t="str">
        <f t="shared" si="8"/>
        <v>K2</v>
      </c>
      <c r="B173">
        <v>141</v>
      </c>
      <c r="C173" s="17" t="s">
        <v>82</v>
      </c>
      <c r="D173">
        <v>2</v>
      </c>
      <c r="E173" s="17" t="s">
        <v>146</v>
      </c>
      <c r="F173" s="107" t="s">
        <v>383</v>
      </c>
      <c r="G173" s="114">
        <v>217.905</v>
      </c>
      <c r="H173" s="114">
        <v>408.40199999999999</v>
      </c>
      <c r="I173" s="114">
        <v>2503.8510000000001</v>
      </c>
      <c r="J173" s="114">
        <v>12</v>
      </c>
      <c r="K173">
        <f t="shared" si="11"/>
        <v>12</v>
      </c>
    </row>
    <row r="174" spans="1:11" x14ac:dyDescent="0.25">
      <c r="A174" t="str">
        <f t="shared" si="8"/>
        <v>L2</v>
      </c>
      <c r="B174">
        <v>131</v>
      </c>
      <c r="C174" s="3" t="s">
        <v>58</v>
      </c>
      <c r="D174">
        <v>2</v>
      </c>
      <c r="E174" s="3" t="s">
        <v>71</v>
      </c>
      <c r="F174" s="28" t="s">
        <v>383</v>
      </c>
      <c r="G174" s="114">
        <v>317.14999999999998</v>
      </c>
      <c r="H174" s="114">
        <v>0</v>
      </c>
      <c r="I174" s="114">
        <v>273.64499999999998</v>
      </c>
      <c r="J174" s="114">
        <v>12</v>
      </c>
      <c r="K174">
        <f t="shared" si="11"/>
        <v>12</v>
      </c>
    </row>
    <row r="175" spans="1:11" x14ac:dyDescent="0.25">
      <c r="A175" t="str">
        <f t="shared" si="8"/>
        <v>M2</v>
      </c>
      <c r="B175">
        <v>140</v>
      </c>
      <c r="C175" s="15" t="s">
        <v>60</v>
      </c>
      <c r="D175">
        <v>2</v>
      </c>
      <c r="E175" s="15" t="s">
        <v>142</v>
      </c>
      <c r="F175" s="29" t="s">
        <v>383</v>
      </c>
      <c r="G175" s="114">
        <v>152.488</v>
      </c>
      <c r="H175" s="114">
        <v>219.648</v>
      </c>
      <c r="I175" s="114">
        <v>464.76900000000001</v>
      </c>
      <c r="J175" s="114">
        <v>12</v>
      </c>
      <c r="K175">
        <f t="shared" si="11"/>
        <v>12</v>
      </c>
    </row>
    <row r="176" spans="1:11" x14ac:dyDescent="0.25">
      <c r="A176" t="str">
        <f t="shared" si="8"/>
        <v>N2</v>
      </c>
      <c r="B176">
        <v>115</v>
      </c>
      <c r="C176" s="18" t="s">
        <v>62</v>
      </c>
      <c r="D176">
        <v>2</v>
      </c>
      <c r="E176" s="18" t="s">
        <v>40</v>
      </c>
      <c r="F176" s="108" t="s">
        <v>383</v>
      </c>
      <c r="G176" s="114">
        <v>1167.4380000000001</v>
      </c>
      <c r="H176" s="114">
        <v>264.178</v>
      </c>
      <c r="I176" s="114">
        <v>6925.2489999999998</v>
      </c>
      <c r="J176" s="114">
        <v>12</v>
      </c>
      <c r="K176">
        <f t="shared" si="11"/>
        <v>12</v>
      </c>
    </row>
    <row r="177" spans="1:11" x14ac:dyDescent="0.25">
      <c r="A177" t="str">
        <f t="shared" si="8"/>
        <v>O2</v>
      </c>
      <c r="B177">
        <v>134</v>
      </c>
      <c r="C177" s="3" t="s">
        <v>64</v>
      </c>
      <c r="D177">
        <v>2</v>
      </c>
      <c r="E177" s="3" t="s">
        <v>71</v>
      </c>
      <c r="F177" s="28" t="s">
        <v>383</v>
      </c>
      <c r="G177" s="114">
        <v>18.643999999999998</v>
      </c>
      <c r="H177" s="114">
        <v>0</v>
      </c>
      <c r="I177" s="114">
        <v>30.686</v>
      </c>
      <c r="J177" s="114">
        <v>12</v>
      </c>
      <c r="K177">
        <f t="shared" si="11"/>
        <v>12</v>
      </c>
    </row>
    <row r="178" spans="1:11" x14ac:dyDescent="0.25">
      <c r="A178" t="str">
        <f t="shared" si="8"/>
        <v>P2</v>
      </c>
      <c r="B178">
        <v>129</v>
      </c>
      <c r="C178" s="15" t="s">
        <v>66</v>
      </c>
      <c r="D178">
        <v>2</v>
      </c>
      <c r="E178" s="15" t="s">
        <v>142</v>
      </c>
      <c r="F178" s="29" t="s">
        <v>382</v>
      </c>
      <c r="G178" s="114">
        <v>98.585999999999999</v>
      </c>
      <c r="H178" s="114">
        <v>115.759</v>
      </c>
      <c r="I178" s="114">
        <v>365.22300000000001</v>
      </c>
      <c r="J178" s="114">
        <v>12</v>
      </c>
      <c r="K178">
        <f t="shared" si="11"/>
        <v>12</v>
      </c>
    </row>
    <row r="179" spans="1:11" x14ac:dyDescent="0.25">
      <c r="A179" t="str">
        <f t="shared" si="8"/>
        <v>Q2</v>
      </c>
      <c r="B179">
        <v>124</v>
      </c>
      <c r="C179" s="18" t="s">
        <v>385</v>
      </c>
      <c r="D179">
        <v>2</v>
      </c>
      <c r="E179" s="18" t="s">
        <v>40</v>
      </c>
      <c r="F179" s="108" t="s">
        <v>382</v>
      </c>
      <c r="G179" s="114">
        <v>178.11699999999999</v>
      </c>
      <c r="H179" s="114">
        <v>88.379000000000005</v>
      </c>
      <c r="I179" s="114">
        <v>382.01799999999997</v>
      </c>
      <c r="J179" s="114">
        <v>12</v>
      </c>
      <c r="K179">
        <f t="shared" si="11"/>
        <v>12</v>
      </c>
    </row>
    <row r="180" spans="1:11" x14ac:dyDescent="0.25">
      <c r="A180" t="str">
        <f t="shared" si="8"/>
        <v>R2</v>
      </c>
      <c r="B180">
        <v>118</v>
      </c>
      <c r="C180" s="18" t="s">
        <v>68</v>
      </c>
      <c r="D180">
        <v>2</v>
      </c>
      <c r="E180" s="18" t="s">
        <v>40</v>
      </c>
      <c r="F180" s="108" t="s">
        <v>382</v>
      </c>
      <c r="G180" s="114">
        <v>334.80399999999997</v>
      </c>
      <c r="H180" s="114">
        <v>141.19200000000001</v>
      </c>
      <c r="I180" s="114">
        <v>5861.5010000000002</v>
      </c>
      <c r="J180" s="114">
        <v>12</v>
      </c>
    </row>
    <row r="181" spans="1:11" x14ac:dyDescent="0.25">
      <c r="A181" t="str">
        <f t="shared" si="8"/>
        <v>S2</v>
      </c>
      <c r="B181">
        <v>125</v>
      </c>
      <c r="C181" s="15" t="s">
        <v>70</v>
      </c>
      <c r="D181">
        <v>2</v>
      </c>
      <c r="E181" s="15" t="s">
        <v>142</v>
      </c>
      <c r="F181" s="29" t="s">
        <v>383</v>
      </c>
      <c r="G181" s="114">
        <v>273.61399999999998</v>
      </c>
      <c r="H181" s="114">
        <v>294.80399999999997</v>
      </c>
      <c r="I181" s="114">
        <v>2961.8180000000002</v>
      </c>
      <c r="J181" s="114">
        <v>12</v>
      </c>
      <c r="K181">
        <f t="shared" ref="K181:K186" si="12">J181</f>
        <v>12</v>
      </c>
    </row>
    <row r="182" spans="1:11" x14ac:dyDescent="0.25">
      <c r="A182" t="str">
        <f t="shared" si="8"/>
        <v>T2</v>
      </c>
      <c r="B182">
        <v>138</v>
      </c>
      <c r="C182" s="4" t="s">
        <v>386</v>
      </c>
      <c r="D182">
        <v>2</v>
      </c>
      <c r="E182" s="4" t="s">
        <v>54</v>
      </c>
      <c r="F182" s="109" t="s">
        <v>383</v>
      </c>
      <c r="G182" s="114">
        <v>4.4560000000000004</v>
      </c>
      <c r="H182" s="114">
        <v>0</v>
      </c>
      <c r="I182" s="114">
        <v>56.198999999999998</v>
      </c>
      <c r="J182" s="114">
        <v>12</v>
      </c>
      <c r="K182">
        <f t="shared" si="12"/>
        <v>12</v>
      </c>
    </row>
    <row r="183" spans="1:11" x14ac:dyDescent="0.25">
      <c r="A183" t="str">
        <f t="shared" si="8"/>
        <v>U2</v>
      </c>
      <c r="B183">
        <v>121</v>
      </c>
      <c r="C183" s="17" t="s">
        <v>388</v>
      </c>
      <c r="D183">
        <v>2</v>
      </c>
      <c r="E183" s="17" t="s">
        <v>146</v>
      </c>
      <c r="F183" s="107" t="s">
        <v>383</v>
      </c>
      <c r="G183" s="114">
        <v>134.36099999999999</v>
      </c>
      <c r="H183" s="114">
        <v>388.10700000000003</v>
      </c>
      <c r="I183" s="114">
        <v>2050.268</v>
      </c>
      <c r="J183" s="114">
        <v>12</v>
      </c>
      <c r="K183">
        <f t="shared" si="12"/>
        <v>12</v>
      </c>
    </row>
    <row r="184" spans="1:11" x14ac:dyDescent="0.25">
      <c r="A184" t="str">
        <f t="shared" si="8"/>
        <v>V2</v>
      </c>
      <c r="B184">
        <v>127</v>
      </c>
      <c r="C184" s="17" t="s">
        <v>389</v>
      </c>
      <c r="D184">
        <v>2</v>
      </c>
      <c r="E184" s="17" t="s">
        <v>146</v>
      </c>
      <c r="F184" s="107" t="s">
        <v>383</v>
      </c>
      <c r="G184" s="114">
        <v>24.164000000000001</v>
      </c>
      <c r="H184" s="114">
        <v>157.19300000000001</v>
      </c>
      <c r="I184" s="114">
        <v>632.32000000000005</v>
      </c>
      <c r="J184" s="114">
        <v>12</v>
      </c>
      <c r="K184">
        <f t="shared" si="12"/>
        <v>12</v>
      </c>
    </row>
    <row r="185" spans="1:11" x14ac:dyDescent="0.25">
      <c r="A185" t="str">
        <f t="shared" si="8"/>
        <v>X2</v>
      </c>
      <c r="B185">
        <v>139</v>
      </c>
      <c r="C185" s="17" t="s">
        <v>390</v>
      </c>
      <c r="D185">
        <v>2</v>
      </c>
      <c r="E185" s="17" t="s">
        <v>146</v>
      </c>
      <c r="F185" s="107" t="s">
        <v>383</v>
      </c>
      <c r="G185" s="114">
        <v>43.289000000000001</v>
      </c>
      <c r="H185" s="114">
        <v>268.06099999999998</v>
      </c>
      <c r="I185" s="114">
        <v>651.19299999999998</v>
      </c>
      <c r="J185" s="114">
        <v>12</v>
      </c>
      <c r="K185">
        <f t="shared" si="12"/>
        <v>12</v>
      </c>
    </row>
    <row r="186" spans="1:11" x14ac:dyDescent="0.25">
      <c r="A186" t="str">
        <f t="shared" si="8"/>
        <v>Y2</v>
      </c>
      <c r="B186">
        <v>122</v>
      </c>
      <c r="C186" s="18" t="s">
        <v>384</v>
      </c>
      <c r="D186">
        <v>2</v>
      </c>
      <c r="E186" s="18" t="s">
        <v>40</v>
      </c>
      <c r="F186" s="108" t="s">
        <v>383</v>
      </c>
      <c r="G186" s="114">
        <v>85.641999999999996</v>
      </c>
      <c r="H186" s="114">
        <v>157.976</v>
      </c>
      <c r="I186" s="114">
        <v>2105.9580000000001</v>
      </c>
      <c r="J186" s="114">
        <v>12</v>
      </c>
      <c r="K186">
        <f t="shared" si="12"/>
        <v>12</v>
      </c>
    </row>
    <row r="187" spans="1:11" x14ac:dyDescent="0.25">
      <c r="A187" t="str">
        <f t="shared" si="8"/>
        <v>Z2</v>
      </c>
      <c r="B187">
        <v>116</v>
      </c>
      <c r="C187" s="15" t="s">
        <v>387</v>
      </c>
      <c r="D187">
        <v>2</v>
      </c>
      <c r="E187" s="15" t="s">
        <v>142</v>
      </c>
      <c r="F187" s="29" t="s">
        <v>382</v>
      </c>
      <c r="G187" s="114">
        <v>354.38499999999999</v>
      </c>
      <c r="H187" s="114">
        <v>142.398</v>
      </c>
      <c r="I187" s="114">
        <v>3600.942</v>
      </c>
      <c r="J187" s="114">
        <v>12</v>
      </c>
    </row>
    <row r="188" spans="1:11" x14ac:dyDescent="0.25">
      <c r="A188" t="str">
        <f t="shared" si="8"/>
        <v>Æ2</v>
      </c>
      <c r="B188">
        <v>120</v>
      </c>
      <c r="C188" s="15" t="s">
        <v>202</v>
      </c>
      <c r="D188">
        <v>2</v>
      </c>
      <c r="E188" s="15" t="s">
        <v>142</v>
      </c>
      <c r="F188" s="29" t="s">
        <v>383</v>
      </c>
      <c r="G188" s="114">
        <v>190.666</v>
      </c>
      <c r="H188" s="114">
        <v>223.01499999999999</v>
      </c>
      <c r="I188" s="114">
        <v>1230.0809999999999</v>
      </c>
      <c r="J188" s="114">
        <v>12</v>
      </c>
    </row>
    <row r="189" spans="1:11" x14ac:dyDescent="0.25">
      <c r="A189" t="str">
        <f t="shared" si="8"/>
        <v>Ø2</v>
      </c>
      <c r="B189">
        <v>137</v>
      </c>
      <c r="C189" s="3" t="s">
        <v>175</v>
      </c>
      <c r="D189">
        <v>2</v>
      </c>
      <c r="E189" s="3" t="s">
        <v>71</v>
      </c>
      <c r="F189" s="28" t="s">
        <v>382</v>
      </c>
      <c r="G189" s="114">
        <v>534.43200000000002</v>
      </c>
      <c r="H189" s="114">
        <v>0</v>
      </c>
      <c r="I189" s="114">
        <v>378.392</v>
      </c>
      <c r="J189" s="114">
        <v>12</v>
      </c>
      <c r="K189">
        <f>J189</f>
        <v>12</v>
      </c>
    </row>
    <row r="190" spans="1:11" x14ac:dyDescent="0.25">
      <c r="A190" t="str">
        <f t="shared" si="8"/>
        <v>Å2</v>
      </c>
      <c r="B190">
        <v>130</v>
      </c>
      <c r="C190" s="17" t="s">
        <v>145</v>
      </c>
      <c r="D190">
        <v>2</v>
      </c>
      <c r="E190" s="17" t="s">
        <v>146</v>
      </c>
      <c r="F190" s="107" t="s">
        <v>383</v>
      </c>
      <c r="G190" s="114">
        <v>144.941</v>
      </c>
      <c r="H190" s="114">
        <v>39.56</v>
      </c>
      <c r="I190" s="114">
        <v>66.563000000000002</v>
      </c>
      <c r="J190" s="114">
        <v>12</v>
      </c>
      <c r="K190">
        <f>J190</f>
        <v>12</v>
      </c>
    </row>
    <row r="191" spans="1:11" x14ac:dyDescent="0.25">
      <c r="A191" t="str">
        <f t="shared" si="8"/>
        <v>A3</v>
      </c>
      <c r="B191">
        <v>150</v>
      </c>
      <c r="C191" s="49" t="s">
        <v>36</v>
      </c>
      <c r="D191">
        <v>3</v>
      </c>
      <c r="E191" s="49" t="s">
        <v>40</v>
      </c>
      <c r="F191" s="50" t="s">
        <v>382</v>
      </c>
      <c r="G191" s="114">
        <v>431.11799999999999</v>
      </c>
      <c r="H191" s="114">
        <v>275.16500000000002</v>
      </c>
      <c r="I191" s="114">
        <v>3522.357</v>
      </c>
      <c r="J191" s="114">
        <v>12</v>
      </c>
    </row>
    <row r="192" spans="1:11" x14ac:dyDescent="0.25">
      <c r="A192" t="str">
        <f t="shared" si="8"/>
        <v>ALPHA3</v>
      </c>
      <c r="B192">
        <v>149</v>
      </c>
      <c r="C192" s="49" t="s">
        <v>586</v>
      </c>
      <c r="D192">
        <v>3</v>
      </c>
      <c r="E192" s="49" t="s">
        <v>142</v>
      </c>
      <c r="F192" s="50" t="s">
        <v>383</v>
      </c>
      <c r="G192" s="114">
        <v>1137.8489999999999</v>
      </c>
      <c r="H192" s="114">
        <v>329.88099999999997</v>
      </c>
      <c r="I192" s="114">
        <v>3617.0079999999998</v>
      </c>
      <c r="J192" s="114">
        <v>12</v>
      </c>
    </row>
    <row r="193" spans="1:11" x14ac:dyDescent="0.25">
      <c r="A193" t="str">
        <f t="shared" si="8"/>
        <v>B3</v>
      </c>
      <c r="B193">
        <v>143</v>
      </c>
      <c r="C193" s="49" t="s">
        <v>39</v>
      </c>
      <c r="D193">
        <v>3</v>
      </c>
      <c r="E193" s="49" t="s">
        <v>40</v>
      </c>
      <c r="F193" s="50" t="s">
        <v>382</v>
      </c>
      <c r="G193" s="114"/>
      <c r="H193" s="114"/>
      <c r="I193" s="114"/>
      <c r="J193" s="114">
        <v>12</v>
      </c>
      <c r="K193">
        <f>J193</f>
        <v>12</v>
      </c>
    </row>
    <row r="194" spans="1:11" x14ac:dyDescent="0.25">
      <c r="A194" t="str">
        <f t="shared" si="8"/>
        <v>BETA3</v>
      </c>
      <c r="B194">
        <v>153</v>
      </c>
      <c r="C194" s="24" t="s">
        <v>584</v>
      </c>
      <c r="D194">
        <v>3</v>
      </c>
      <c r="E194" s="48" t="s">
        <v>142</v>
      </c>
      <c r="F194" s="36" t="s">
        <v>383</v>
      </c>
      <c r="G194" s="114">
        <v>261.49900000000002</v>
      </c>
      <c r="H194" s="114">
        <v>255.61199999999999</v>
      </c>
      <c r="I194" s="114">
        <v>833.601</v>
      </c>
      <c r="J194" s="114">
        <v>12</v>
      </c>
      <c r="K194">
        <f>J194</f>
        <v>12</v>
      </c>
    </row>
    <row r="195" spans="1:11" x14ac:dyDescent="0.25">
      <c r="A195" t="str">
        <f t="shared" si="8"/>
        <v>D3</v>
      </c>
      <c r="B195">
        <v>145</v>
      </c>
      <c r="C195" s="49" t="s">
        <v>45</v>
      </c>
      <c r="D195">
        <v>3</v>
      </c>
      <c r="E195" s="49" t="s">
        <v>40</v>
      </c>
      <c r="F195" s="50" t="s">
        <v>383</v>
      </c>
      <c r="G195" s="114">
        <v>107.161</v>
      </c>
      <c r="H195" s="114">
        <v>151.33500000000001</v>
      </c>
      <c r="I195" s="114">
        <v>1932.607</v>
      </c>
      <c r="J195" s="114">
        <v>12</v>
      </c>
    </row>
    <row r="196" spans="1:11" x14ac:dyDescent="0.25">
      <c r="A196" t="str">
        <f t="shared" si="8"/>
        <v>G3</v>
      </c>
      <c r="B196">
        <v>164</v>
      </c>
      <c r="C196" s="106" t="s">
        <v>51</v>
      </c>
      <c r="D196">
        <v>3</v>
      </c>
      <c r="E196" s="48" t="s">
        <v>71</v>
      </c>
      <c r="F196" s="51" t="s">
        <v>382</v>
      </c>
      <c r="G196" s="114">
        <v>41.512999999999998</v>
      </c>
      <c r="H196" s="114">
        <v>0</v>
      </c>
      <c r="I196" s="114">
        <v>63.097000000000001</v>
      </c>
      <c r="J196" s="114">
        <v>12</v>
      </c>
      <c r="K196">
        <f>J196</f>
        <v>12</v>
      </c>
    </row>
    <row r="197" spans="1:11" x14ac:dyDescent="0.25">
      <c r="A197" t="str">
        <f t="shared" si="8"/>
        <v>GAMMA3</v>
      </c>
      <c r="B197">
        <v>148</v>
      </c>
      <c r="C197" s="49" t="s">
        <v>585</v>
      </c>
      <c r="D197">
        <v>3</v>
      </c>
      <c r="E197" s="49" t="s">
        <v>40</v>
      </c>
      <c r="F197" s="50" t="s">
        <v>383</v>
      </c>
      <c r="G197" s="114">
        <v>785.73599999999999</v>
      </c>
      <c r="H197" s="114">
        <v>382.27100000000002</v>
      </c>
      <c r="I197" s="114">
        <v>5506.1270000000004</v>
      </c>
      <c r="J197" s="114">
        <v>12</v>
      </c>
    </row>
    <row r="198" spans="1:11" x14ac:dyDescent="0.25">
      <c r="A198" t="str">
        <f t="shared" si="8"/>
        <v>H3</v>
      </c>
      <c r="B198">
        <v>146</v>
      </c>
      <c r="C198" s="49" t="s">
        <v>53</v>
      </c>
      <c r="D198">
        <v>3</v>
      </c>
      <c r="E198" s="49" t="s">
        <v>40</v>
      </c>
      <c r="F198" s="50" t="s">
        <v>382</v>
      </c>
      <c r="G198" s="114">
        <v>1344.3579999999999</v>
      </c>
      <c r="H198" s="114">
        <v>389.77300000000002</v>
      </c>
      <c r="I198" s="114">
        <v>5499.058</v>
      </c>
      <c r="J198" s="114">
        <v>12</v>
      </c>
      <c r="K198">
        <f>J198</f>
        <v>12</v>
      </c>
    </row>
    <row r="199" spans="1:11" x14ac:dyDescent="0.25">
      <c r="A199" t="str">
        <f t="shared" si="8"/>
        <v>I3</v>
      </c>
      <c r="B199">
        <v>152</v>
      </c>
      <c r="C199" s="49" t="s">
        <v>56</v>
      </c>
      <c r="D199">
        <v>3</v>
      </c>
      <c r="E199" s="49" t="s">
        <v>142</v>
      </c>
      <c r="F199" s="50" t="s">
        <v>382</v>
      </c>
      <c r="G199" s="114">
        <v>344.46300000000002</v>
      </c>
      <c r="H199" s="114">
        <v>474.84699999999998</v>
      </c>
      <c r="I199" s="114">
        <v>3495.1750000000002</v>
      </c>
      <c r="J199" s="114">
        <v>12</v>
      </c>
    </row>
    <row r="200" spans="1:11" x14ac:dyDescent="0.25">
      <c r="A200" t="str">
        <f t="shared" si="8"/>
        <v>J3</v>
      </c>
      <c r="B200">
        <v>155</v>
      </c>
      <c r="C200" s="6" t="s">
        <v>80</v>
      </c>
      <c r="D200">
        <v>3</v>
      </c>
      <c r="E200" s="48" t="s">
        <v>40</v>
      </c>
      <c r="F200" s="5" t="s">
        <v>383</v>
      </c>
      <c r="G200" s="114">
        <v>424.87700000000001</v>
      </c>
      <c r="H200" s="114">
        <v>354.291</v>
      </c>
      <c r="I200" s="114">
        <v>3725.335</v>
      </c>
      <c r="J200" s="114">
        <v>12</v>
      </c>
      <c r="K200">
        <f>J200</f>
        <v>12</v>
      </c>
    </row>
    <row r="201" spans="1:11" x14ac:dyDescent="0.25">
      <c r="A201" t="str">
        <f t="shared" si="8"/>
        <v>K3</v>
      </c>
      <c r="B201">
        <v>161</v>
      </c>
      <c r="C201" s="52" t="s">
        <v>82</v>
      </c>
      <c r="D201">
        <v>3</v>
      </c>
      <c r="E201" s="48" t="s">
        <v>54</v>
      </c>
      <c r="F201" s="53" t="s">
        <v>382</v>
      </c>
      <c r="G201" s="114">
        <v>0</v>
      </c>
      <c r="H201" s="114">
        <v>0</v>
      </c>
      <c r="I201" s="114">
        <v>42.680999999999997</v>
      </c>
      <c r="J201" s="114">
        <v>12</v>
      </c>
      <c r="K201">
        <f>J201</f>
        <v>12</v>
      </c>
    </row>
    <row r="202" spans="1:11" x14ac:dyDescent="0.25">
      <c r="A202" t="str">
        <f t="shared" si="8"/>
        <v>L3</v>
      </c>
      <c r="B202">
        <v>151</v>
      </c>
      <c r="C202" s="49" t="s">
        <v>58</v>
      </c>
      <c r="D202">
        <v>3</v>
      </c>
      <c r="E202" s="49" t="s">
        <v>142</v>
      </c>
      <c r="F202" s="50" t="s">
        <v>383</v>
      </c>
      <c r="G202" s="114">
        <v>491.28500000000003</v>
      </c>
      <c r="H202" s="114">
        <v>217.79900000000001</v>
      </c>
      <c r="I202" s="114">
        <v>1824.778</v>
      </c>
      <c r="J202" s="114">
        <v>12</v>
      </c>
    </row>
    <row r="203" spans="1:11" x14ac:dyDescent="0.25">
      <c r="A203" t="str">
        <f t="shared" si="8"/>
        <v>N3</v>
      </c>
      <c r="B203">
        <v>159</v>
      </c>
      <c r="C203" s="25" t="s">
        <v>62</v>
      </c>
      <c r="D203">
        <v>3</v>
      </c>
      <c r="E203" s="48" t="s">
        <v>146</v>
      </c>
      <c r="F203" s="26" t="s">
        <v>383</v>
      </c>
      <c r="G203" s="114">
        <v>168.227</v>
      </c>
      <c r="H203" s="114">
        <v>216.489</v>
      </c>
      <c r="I203" s="114">
        <v>586.66999999999996</v>
      </c>
      <c r="J203" s="114">
        <v>12</v>
      </c>
      <c r="K203">
        <f t="shared" ref="K203:K212" si="13">J203</f>
        <v>12</v>
      </c>
    </row>
    <row r="204" spans="1:11" x14ac:dyDescent="0.25">
      <c r="A204" t="str">
        <f t="shared" si="8"/>
        <v>O3</v>
      </c>
      <c r="B204">
        <v>157</v>
      </c>
      <c r="C204" s="25" t="s">
        <v>64</v>
      </c>
      <c r="D204">
        <v>3</v>
      </c>
      <c r="E204" s="48" t="s">
        <v>146</v>
      </c>
      <c r="F204" s="26" t="s">
        <v>382</v>
      </c>
      <c r="G204" s="114">
        <v>370.33199999999999</v>
      </c>
      <c r="H204" s="114">
        <v>70.948999999999998</v>
      </c>
      <c r="I204" s="114">
        <v>128.86000000000001</v>
      </c>
      <c r="J204" s="114">
        <v>12</v>
      </c>
      <c r="K204">
        <f t="shared" si="13"/>
        <v>12</v>
      </c>
    </row>
    <row r="205" spans="1:11" x14ac:dyDescent="0.25">
      <c r="A205" t="str">
        <f t="shared" si="8"/>
        <v>P3</v>
      </c>
      <c r="C205" s="49" t="s">
        <v>66</v>
      </c>
      <c r="D205">
        <v>3</v>
      </c>
      <c r="E205" s="49" t="s">
        <v>71</v>
      </c>
      <c r="F205" s="50" t="s">
        <v>383</v>
      </c>
      <c r="G205" s="114">
        <v>69.811000000000007</v>
      </c>
      <c r="H205" s="114">
        <v>0</v>
      </c>
      <c r="I205" s="114">
        <v>80.635999999999996</v>
      </c>
      <c r="J205" s="114">
        <v>12</v>
      </c>
      <c r="K205">
        <f t="shared" si="13"/>
        <v>12</v>
      </c>
    </row>
    <row r="206" spans="1:11" x14ac:dyDescent="0.25">
      <c r="A206" t="str">
        <f t="shared" si="8"/>
        <v>Q3</v>
      </c>
      <c r="B206">
        <v>165</v>
      </c>
      <c r="C206" s="52" t="s">
        <v>385</v>
      </c>
      <c r="D206">
        <v>3</v>
      </c>
      <c r="E206" s="48" t="s">
        <v>54</v>
      </c>
      <c r="F206" s="53" t="s">
        <v>383</v>
      </c>
      <c r="G206" s="114">
        <v>0</v>
      </c>
      <c r="H206" s="114">
        <v>0</v>
      </c>
      <c r="I206" s="114">
        <v>56.837000000000003</v>
      </c>
      <c r="J206" s="114">
        <v>12</v>
      </c>
      <c r="K206">
        <f t="shared" si="13"/>
        <v>12</v>
      </c>
    </row>
    <row r="207" spans="1:11" x14ac:dyDescent="0.25">
      <c r="A207" t="str">
        <f t="shared" si="8"/>
        <v>R3</v>
      </c>
      <c r="B207">
        <v>160</v>
      </c>
      <c r="C207" s="106" t="s">
        <v>68</v>
      </c>
      <c r="D207">
        <v>3</v>
      </c>
      <c r="E207" s="48" t="s">
        <v>71</v>
      </c>
      <c r="F207" s="51" t="s">
        <v>383</v>
      </c>
      <c r="G207" s="114">
        <v>37.228000000000002</v>
      </c>
      <c r="H207" s="114">
        <v>0</v>
      </c>
      <c r="I207" s="114">
        <v>52.005000000000003</v>
      </c>
      <c r="J207" s="114">
        <v>12</v>
      </c>
      <c r="K207">
        <f t="shared" si="13"/>
        <v>12</v>
      </c>
    </row>
    <row r="208" spans="1:11" x14ac:dyDescent="0.25">
      <c r="A208" t="str">
        <f t="shared" si="8"/>
        <v>T3</v>
      </c>
      <c r="B208">
        <v>144</v>
      </c>
      <c r="C208" s="49" t="s">
        <v>386</v>
      </c>
      <c r="D208">
        <v>3</v>
      </c>
      <c r="E208" s="49" t="s">
        <v>146</v>
      </c>
      <c r="F208" s="50" t="s">
        <v>383</v>
      </c>
      <c r="G208" s="114"/>
      <c r="H208" s="114"/>
      <c r="I208" s="114"/>
      <c r="J208" s="114">
        <v>12</v>
      </c>
      <c r="K208">
        <f t="shared" si="13"/>
        <v>12</v>
      </c>
    </row>
    <row r="209" spans="1:11" x14ac:dyDescent="0.25">
      <c r="A209" t="str">
        <f t="shared" si="8"/>
        <v>U3</v>
      </c>
      <c r="B209">
        <v>142</v>
      </c>
      <c r="C209" s="49" t="s">
        <v>388</v>
      </c>
      <c r="D209">
        <v>3</v>
      </c>
      <c r="E209" s="49" t="s">
        <v>146</v>
      </c>
      <c r="F209" s="50" t="s">
        <v>382</v>
      </c>
      <c r="G209" s="114"/>
      <c r="H209" s="114"/>
      <c r="I209" s="114"/>
      <c r="J209" s="114">
        <v>12</v>
      </c>
      <c r="K209">
        <f t="shared" si="13"/>
        <v>12</v>
      </c>
    </row>
    <row r="210" spans="1:11" x14ac:dyDescent="0.25">
      <c r="A210" t="str">
        <f t="shared" si="8"/>
        <v>V3</v>
      </c>
      <c r="B210">
        <v>158</v>
      </c>
      <c r="C210" s="25" t="s">
        <v>389</v>
      </c>
      <c r="D210">
        <v>3</v>
      </c>
      <c r="E210" s="48" t="s">
        <v>146</v>
      </c>
      <c r="F210" s="26" t="s">
        <v>382</v>
      </c>
      <c r="G210" s="114">
        <v>210.01900000000001</v>
      </c>
      <c r="H210" s="114">
        <v>389.95100000000002</v>
      </c>
      <c r="I210" s="114">
        <v>1421.3920000000001</v>
      </c>
      <c r="J210" s="114">
        <v>12</v>
      </c>
      <c r="K210">
        <f t="shared" si="13"/>
        <v>12</v>
      </c>
    </row>
    <row r="211" spans="1:11" x14ac:dyDescent="0.25">
      <c r="A211" t="str">
        <f t="shared" ref="A211:A274" si="14">C211&amp;D211</f>
        <v>X3</v>
      </c>
      <c r="B211">
        <v>162</v>
      </c>
      <c r="C211" s="106" t="s">
        <v>390</v>
      </c>
      <c r="D211">
        <v>3</v>
      </c>
      <c r="E211" s="48" t="s">
        <v>71</v>
      </c>
      <c r="F211" s="51" t="s">
        <v>382</v>
      </c>
      <c r="G211" s="114">
        <v>5.9180000000000001</v>
      </c>
      <c r="H211" s="114">
        <v>0</v>
      </c>
      <c r="I211" s="114">
        <v>72.212000000000003</v>
      </c>
      <c r="J211" s="114">
        <v>12</v>
      </c>
      <c r="K211">
        <f t="shared" si="13"/>
        <v>12</v>
      </c>
    </row>
    <row r="212" spans="1:11" x14ac:dyDescent="0.25">
      <c r="A212" t="str">
        <f t="shared" si="14"/>
        <v>Y3</v>
      </c>
      <c r="B212">
        <v>156</v>
      </c>
      <c r="C212" s="25" t="s">
        <v>384</v>
      </c>
      <c r="D212">
        <v>3</v>
      </c>
      <c r="E212" s="48" t="s">
        <v>146</v>
      </c>
      <c r="F212" s="26" t="s">
        <v>382</v>
      </c>
      <c r="G212" s="114">
        <v>990.70399999999995</v>
      </c>
      <c r="H212" s="114">
        <v>125.62</v>
      </c>
      <c r="I212" s="114">
        <v>269.03899999999999</v>
      </c>
      <c r="J212" s="114">
        <v>12</v>
      </c>
      <c r="K212">
        <f t="shared" si="13"/>
        <v>12</v>
      </c>
    </row>
    <row r="213" spans="1:11" x14ac:dyDescent="0.25">
      <c r="A213" t="str">
        <f t="shared" si="14"/>
        <v>Æ3</v>
      </c>
      <c r="B213">
        <v>163</v>
      </c>
      <c r="C213" s="52" t="s">
        <v>202</v>
      </c>
      <c r="D213">
        <v>3</v>
      </c>
      <c r="E213" s="48" t="s">
        <v>54</v>
      </c>
      <c r="F213" s="53" t="s">
        <v>382</v>
      </c>
      <c r="G213" s="114">
        <v>0</v>
      </c>
      <c r="H213" s="114">
        <v>0</v>
      </c>
      <c r="I213" s="114">
        <v>58.055999999999997</v>
      </c>
      <c r="J213" s="114">
        <v>12</v>
      </c>
      <c r="K213" s="114">
        <v>12</v>
      </c>
    </row>
    <row r="214" spans="1:11" x14ac:dyDescent="0.25">
      <c r="A214" t="str">
        <f t="shared" si="14"/>
        <v>Ø3</v>
      </c>
      <c r="B214">
        <v>154</v>
      </c>
      <c r="C214" s="24" t="s">
        <v>175</v>
      </c>
      <c r="D214">
        <v>3</v>
      </c>
      <c r="E214" s="48" t="s">
        <v>142</v>
      </c>
      <c r="F214" s="36" t="s">
        <v>382</v>
      </c>
      <c r="G214" s="114">
        <v>980.05899999999997</v>
      </c>
      <c r="H214" s="114">
        <v>356.226</v>
      </c>
      <c r="I214" s="114">
        <v>1758.8130000000001</v>
      </c>
      <c r="J214" s="114">
        <v>12</v>
      </c>
      <c r="K214">
        <f>J214</f>
        <v>12</v>
      </c>
    </row>
    <row r="215" spans="1:11" x14ac:dyDescent="0.25">
      <c r="A215" t="str">
        <f t="shared" si="14"/>
        <v>Å3</v>
      </c>
      <c r="B215">
        <v>147</v>
      </c>
      <c r="C215" s="49" t="s">
        <v>145</v>
      </c>
      <c r="D215">
        <v>3</v>
      </c>
      <c r="E215" s="49" t="s">
        <v>142</v>
      </c>
      <c r="F215" s="50" t="s">
        <v>382</v>
      </c>
      <c r="G215" s="114">
        <v>333.34300000000002</v>
      </c>
      <c r="H215" s="114">
        <v>221.809</v>
      </c>
      <c r="I215" s="114">
        <v>727.25199999999995</v>
      </c>
      <c r="J215" s="114">
        <v>12</v>
      </c>
    </row>
    <row r="216" spans="1:11" x14ac:dyDescent="0.25">
      <c r="A216" s="50" t="str">
        <f t="shared" si="14"/>
        <v>A1</v>
      </c>
      <c r="B216" s="50">
        <v>999</v>
      </c>
      <c r="C216" s="49" t="s">
        <v>36</v>
      </c>
      <c r="D216" s="50">
        <v>1</v>
      </c>
      <c r="E216" s="55" t="s">
        <v>142</v>
      </c>
      <c r="F216" s="63" t="s">
        <v>60</v>
      </c>
      <c r="J216" s="114">
        <v>22</v>
      </c>
      <c r="K216">
        <f>J216</f>
        <v>22</v>
      </c>
    </row>
    <row r="217" spans="1:11" x14ac:dyDescent="0.25">
      <c r="A217" t="str">
        <f t="shared" si="14"/>
        <v>B1</v>
      </c>
      <c r="B217">
        <v>101</v>
      </c>
      <c r="C217" s="6" t="s">
        <v>39</v>
      </c>
      <c r="D217">
        <v>1</v>
      </c>
      <c r="E217" s="18" t="s">
        <v>40</v>
      </c>
      <c r="F217" s="31" t="s">
        <v>49</v>
      </c>
      <c r="G217">
        <v>50.267000000000003</v>
      </c>
      <c r="H217">
        <v>53.673000000000002</v>
      </c>
      <c r="I217">
        <v>1033.079</v>
      </c>
      <c r="J217" s="114">
        <v>22</v>
      </c>
      <c r="K217">
        <v>12</v>
      </c>
    </row>
    <row r="218" spans="1:11" x14ac:dyDescent="0.25">
      <c r="A218" t="str">
        <f t="shared" si="14"/>
        <v>C1</v>
      </c>
      <c r="B218">
        <v>109</v>
      </c>
      <c r="C218" s="25" t="s">
        <v>43</v>
      </c>
      <c r="D218">
        <v>1</v>
      </c>
      <c r="E218" s="17" t="s">
        <v>146</v>
      </c>
      <c r="F218" s="32" t="s">
        <v>49</v>
      </c>
      <c r="G218">
        <v>1.002</v>
      </c>
      <c r="H218">
        <v>207.64</v>
      </c>
      <c r="I218">
        <v>401.053</v>
      </c>
      <c r="J218" s="114">
        <v>22</v>
      </c>
      <c r="K218">
        <f t="shared" ref="K218:K223" si="15">J218</f>
        <v>22</v>
      </c>
    </row>
    <row r="219" spans="1:11" x14ac:dyDescent="0.25">
      <c r="A219" t="str">
        <f t="shared" si="14"/>
        <v>E1</v>
      </c>
      <c r="B219">
        <v>108</v>
      </c>
      <c r="C219" s="25" t="s">
        <v>47</v>
      </c>
      <c r="D219">
        <v>1</v>
      </c>
      <c r="E219" s="17" t="s">
        <v>146</v>
      </c>
      <c r="F219" s="32" t="s">
        <v>60</v>
      </c>
      <c r="G219">
        <v>22.5</v>
      </c>
      <c r="H219">
        <v>132.238</v>
      </c>
      <c r="I219">
        <v>442.70400000000001</v>
      </c>
      <c r="J219" s="114">
        <v>22</v>
      </c>
      <c r="K219">
        <f t="shared" si="15"/>
        <v>22</v>
      </c>
    </row>
    <row r="220" spans="1:11" x14ac:dyDescent="0.25">
      <c r="A220" t="str">
        <f t="shared" si="14"/>
        <v>F1</v>
      </c>
      <c r="B220">
        <v>105</v>
      </c>
      <c r="C220" s="6" t="s">
        <v>49</v>
      </c>
      <c r="D220">
        <v>1</v>
      </c>
      <c r="E220" s="18" t="s">
        <v>40</v>
      </c>
      <c r="F220" s="31" t="s">
        <v>49</v>
      </c>
      <c r="G220">
        <v>45.188000000000002</v>
      </c>
      <c r="H220">
        <v>1976.788</v>
      </c>
      <c r="I220">
        <v>6305.9409999999998</v>
      </c>
      <c r="J220" s="114">
        <v>22</v>
      </c>
      <c r="K220">
        <f t="shared" si="15"/>
        <v>22</v>
      </c>
    </row>
    <row r="221" spans="1:11" x14ac:dyDescent="0.25">
      <c r="A221" t="str">
        <f t="shared" si="14"/>
        <v>G1</v>
      </c>
      <c r="B221">
        <v>106</v>
      </c>
      <c r="C221" s="25" t="s">
        <v>51</v>
      </c>
      <c r="D221">
        <v>1</v>
      </c>
      <c r="E221" s="116" t="s">
        <v>146</v>
      </c>
      <c r="F221" s="32" t="s">
        <v>49</v>
      </c>
      <c r="G221">
        <v>2.8220000000000001</v>
      </c>
      <c r="H221">
        <v>26.853000000000002</v>
      </c>
      <c r="I221">
        <v>449.31900000000002</v>
      </c>
      <c r="J221" s="114">
        <v>22</v>
      </c>
      <c r="K221">
        <f t="shared" si="15"/>
        <v>22</v>
      </c>
    </row>
    <row r="222" spans="1:11" x14ac:dyDescent="0.25">
      <c r="A222" t="str">
        <f t="shared" si="14"/>
        <v>H1</v>
      </c>
      <c r="B222">
        <v>111</v>
      </c>
      <c r="C222" s="1" t="s">
        <v>53</v>
      </c>
      <c r="D222">
        <v>1</v>
      </c>
      <c r="E222" s="4" t="s">
        <v>54</v>
      </c>
      <c r="F222" s="33" t="s">
        <v>60</v>
      </c>
      <c r="G222">
        <v>0</v>
      </c>
      <c r="H222">
        <v>0</v>
      </c>
      <c r="I222">
        <v>0</v>
      </c>
      <c r="J222" s="114">
        <v>22</v>
      </c>
      <c r="K222">
        <f t="shared" si="15"/>
        <v>22</v>
      </c>
    </row>
    <row r="223" spans="1:11" x14ac:dyDescent="0.25">
      <c r="A223" t="str">
        <f t="shared" si="14"/>
        <v>I1</v>
      </c>
      <c r="B223">
        <v>107</v>
      </c>
      <c r="C223" s="6" t="s">
        <v>56</v>
      </c>
      <c r="D223">
        <v>1</v>
      </c>
      <c r="E223" s="18" t="s">
        <v>40</v>
      </c>
      <c r="F223" s="31" t="s">
        <v>60</v>
      </c>
      <c r="G223">
        <v>5.66</v>
      </c>
      <c r="H223">
        <v>90.430999999999997</v>
      </c>
      <c r="I223">
        <v>171.83199999999999</v>
      </c>
      <c r="J223" s="114">
        <v>22</v>
      </c>
      <c r="K223">
        <f t="shared" si="15"/>
        <v>22</v>
      </c>
    </row>
    <row r="224" spans="1:11" x14ac:dyDescent="0.25">
      <c r="A224" t="str">
        <f t="shared" si="14"/>
        <v>J1</v>
      </c>
      <c r="B224">
        <v>100</v>
      </c>
      <c r="C224" s="24" t="s">
        <v>80</v>
      </c>
      <c r="D224">
        <v>1</v>
      </c>
      <c r="E224" s="15" t="s">
        <v>142</v>
      </c>
      <c r="F224" s="30" t="s">
        <v>60</v>
      </c>
      <c r="G224">
        <v>16.466999999999999</v>
      </c>
      <c r="H224">
        <v>299.06200000000001</v>
      </c>
      <c r="I224">
        <v>4147.8280000000004</v>
      </c>
      <c r="J224" s="114">
        <v>22</v>
      </c>
      <c r="K224">
        <v>12</v>
      </c>
    </row>
    <row r="225" spans="1:11" x14ac:dyDescent="0.25">
      <c r="A225" t="str">
        <f t="shared" si="14"/>
        <v>K1</v>
      </c>
      <c r="B225">
        <v>110</v>
      </c>
      <c r="C225" s="2" t="s">
        <v>82</v>
      </c>
      <c r="D225">
        <v>1</v>
      </c>
      <c r="E225" s="3" t="s">
        <v>71</v>
      </c>
      <c r="F225" s="110" t="s">
        <v>60</v>
      </c>
      <c r="G225">
        <v>0</v>
      </c>
      <c r="H225">
        <v>0</v>
      </c>
      <c r="I225">
        <v>0</v>
      </c>
      <c r="J225" s="114">
        <v>22</v>
      </c>
      <c r="K225">
        <f t="shared" ref="K225:K237" si="16">J225</f>
        <v>22</v>
      </c>
    </row>
    <row r="226" spans="1:11" x14ac:dyDescent="0.25">
      <c r="A226" t="str">
        <f t="shared" si="14"/>
        <v>L1</v>
      </c>
      <c r="B226">
        <v>113</v>
      </c>
      <c r="C226" s="1" t="s">
        <v>58</v>
      </c>
      <c r="D226">
        <v>1</v>
      </c>
      <c r="E226" s="21" t="s">
        <v>54</v>
      </c>
      <c r="F226" s="33" t="s">
        <v>49</v>
      </c>
      <c r="G226">
        <v>0</v>
      </c>
      <c r="H226">
        <v>7.7469999999999999</v>
      </c>
      <c r="I226">
        <v>0</v>
      </c>
      <c r="J226" s="114">
        <v>22</v>
      </c>
      <c r="K226">
        <f t="shared" si="16"/>
        <v>22</v>
      </c>
    </row>
    <row r="227" spans="1:11" x14ac:dyDescent="0.25">
      <c r="A227" t="str">
        <f t="shared" si="14"/>
        <v>M1</v>
      </c>
      <c r="B227">
        <v>114</v>
      </c>
      <c r="C227" s="24" t="s">
        <v>60</v>
      </c>
      <c r="D227">
        <v>1</v>
      </c>
      <c r="E227" s="15" t="s">
        <v>142</v>
      </c>
      <c r="F227" s="30" t="s">
        <v>49</v>
      </c>
      <c r="G227">
        <v>3.6440000000000001</v>
      </c>
      <c r="H227">
        <v>224.08</v>
      </c>
      <c r="I227">
        <v>201.42500000000001</v>
      </c>
      <c r="J227" s="114">
        <v>22</v>
      </c>
      <c r="K227">
        <f t="shared" si="16"/>
        <v>22</v>
      </c>
    </row>
    <row r="228" spans="1:11" x14ac:dyDescent="0.25">
      <c r="A228" t="str">
        <f t="shared" si="14"/>
        <v>N1</v>
      </c>
      <c r="B228">
        <v>102</v>
      </c>
      <c r="C228" s="6" t="s">
        <v>62</v>
      </c>
      <c r="D228">
        <v>1</v>
      </c>
      <c r="E228" s="18" t="s">
        <v>40</v>
      </c>
      <c r="F228" s="31" t="s">
        <v>60</v>
      </c>
      <c r="G228">
        <v>17.062000000000001</v>
      </c>
      <c r="H228">
        <v>875.30200000000002</v>
      </c>
      <c r="I228">
        <v>7713.8779999999997</v>
      </c>
      <c r="J228" s="114">
        <v>22</v>
      </c>
      <c r="K228">
        <f t="shared" si="16"/>
        <v>22</v>
      </c>
    </row>
    <row r="229" spans="1:11" x14ac:dyDescent="0.25">
      <c r="A229" t="str">
        <f t="shared" si="14"/>
        <v>O1</v>
      </c>
      <c r="B229">
        <v>103</v>
      </c>
      <c r="C229" s="25" t="s">
        <v>64</v>
      </c>
      <c r="D229">
        <v>1</v>
      </c>
      <c r="E229" s="116" t="s">
        <v>146</v>
      </c>
      <c r="F229" s="32" t="s">
        <v>60</v>
      </c>
      <c r="G229">
        <v>5.0609999999999999</v>
      </c>
      <c r="H229">
        <v>23.748999999999999</v>
      </c>
      <c r="I229">
        <v>173.24700000000001</v>
      </c>
      <c r="J229" s="114">
        <v>22</v>
      </c>
      <c r="K229">
        <f t="shared" si="16"/>
        <v>22</v>
      </c>
    </row>
    <row r="230" spans="1:11" x14ac:dyDescent="0.25">
      <c r="A230" s="50" t="str">
        <f t="shared" si="14"/>
        <v>P1</v>
      </c>
      <c r="B230" s="50"/>
      <c r="C230" s="49" t="s">
        <v>66</v>
      </c>
      <c r="D230" s="50">
        <v>1</v>
      </c>
      <c r="E230" s="54" t="s">
        <v>142</v>
      </c>
      <c r="F230" s="63" t="s">
        <v>60</v>
      </c>
      <c r="J230" s="114">
        <v>22</v>
      </c>
      <c r="K230">
        <f t="shared" si="16"/>
        <v>22</v>
      </c>
    </row>
    <row r="231" spans="1:11" x14ac:dyDescent="0.25">
      <c r="A231" t="str">
        <f t="shared" si="14"/>
        <v>R1</v>
      </c>
      <c r="B231">
        <v>104</v>
      </c>
      <c r="C231" s="24" t="s">
        <v>68</v>
      </c>
      <c r="D231">
        <v>1</v>
      </c>
      <c r="E231" s="15" t="s">
        <v>142</v>
      </c>
      <c r="F231" s="30" t="s">
        <v>49</v>
      </c>
      <c r="G231">
        <v>31.481999999999999</v>
      </c>
      <c r="H231">
        <v>151.87200000000001</v>
      </c>
      <c r="I231">
        <v>3591.8049999999998</v>
      </c>
      <c r="J231" s="114">
        <v>22</v>
      </c>
      <c r="K231">
        <f t="shared" si="16"/>
        <v>22</v>
      </c>
    </row>
    <row r="232" spans="1:11" x14ac:dyDescent="0.25">
      <c r="A232" t="str">
        <f t="shared" si="14"/>
        <v>S1</v>
      </c>
      <c r="B232">
        <v>112</v>
      </c>
      <c r="C232" s="2" t="s">
        <v>70</v>
      </c>
      <c r="D232">
        <v>1</v>
      </c>
      <c r="E232" s="23" t="s">
        <v>71</v>
      </c>
      <c r="F232" s="110" t="s">
        <v>49</v>
      </c>
      <c r="G232">
        <v>0</v>
      </c>
      <c r="H232">
        <v>0</v>
      </c>
      <c r="I232">
        <v>0</v>
      </c>
      <c r="J232" s="114">
        <v>22</v>
      </c>
      <c r="K232">
        <f t="shared" si="16"/>
        <v>22</v>
      </c>
    </row>
    <row r="233" spans="1:11" x14ac:dyDescent="0.25">
      <c r="A233" t="str">
        <f t="shared" si="14"/>
        <v>A2</v>
      </c>
      <c r="B233">
        <v>117</v>
      </c>
      <c r="C233" s="24" t="s">
        <v>36</v>
      </c>
      <c r="D233">
        <v>2</v>
      </c>
      <c r="E233" s="15" t="s">
        <v>142</v>
      </c>
      <c r="F233" s="30" t="s">
        <v>383</v>
      </c>
      <c r="G233">
        <v>23.908000000000001</v>
      </c>
      <c r="H233">
        <v>275.53399999999999</v>
      </c>
      <c r="I233">
        <v>2765.08</v>
      </c>
      <c r="J233" s="114">
        <v>22</v>
      </c>
      <c r="K233">
        <f t="shared" si="16"/>
        <v>22</v>
      </c>
    </row>
    <row r="234" spans="1:11" x14ac:dyDescent="0.25">
      <c r="A234" t="str">
        <f t="shared" si="14"/>
        <v>B2</v>
      </c>
      <c r="B234">
        <v>123</v>
      </c>
      <c r="C234" s="15" t="s">
        <v>39</v>
      </c>
      <c r="D234">
        <v>2</v>
      </c>
      <c r="E234" s="16" t="s">
        <v>142</v>
      </c>
      <c r="F234" s="122" t="s">
        <v>382</v>
      </c>
      <c r="G234">
        <v>4.3280000000000003</v>
      </c>
      <c r="H234">
        <v>454.90300000000002</v>
      </c>
      <c r="I234">
        <v>619.89400000000001</v>
      </c>
      <c r="J234" s="114">
        <v>22</v>
      </c>
      <c r="K234">
        <f t="shared" si="16"/>
        <v>22</v>
      </c>
    </row>
    <row r="235" spans="1:11" x14ac:dyDescent="0.25">
      <c r="A235" t="str">
        <f t="shared" si="14"/>
        <v>C2</v>
      </c>
      <c r="B235">
        <v>126</v>
      </c>
      <c r="C235" s="15" t="s">
        <v>43</v>
      </c>
      <c r="D235">
        <v>2</v>
      </c>
      <c r="E235" s="15" t="s">
        <v>142</v>
      </c>
      <c r="F235" s="29" t="s">
        <v>382</v>
      </c>
      <c r="G235">
        <v>23.207999999999998</v>
      </c>
      <c r="H235">
        <v>278.37099999999998</v>
      </c>
      <c r="I235">
        <v>1457.8209999999999</v>
      </c>
      <c r="J235" s="114">
        <v>22</v>
      </c>
      <c r="K235">
        <f t="shared" si="16"/>
        <v>22</v>
      </c>
    </row>
    <row r="236" spans="1:11" x14ac:dyDescent="0.25">
      <c r="A236" t="str">
        <f t="shared" si="14"/>
        <v>D2</v>
      </c>
      <c r="B236">
        <v>136</v>
      </c>
      <c r="C236" s="17" t="s">
        <v>45</v>
      </c>
      <c r="D236">
        <v>2</v>
      </c>
      <c r="E236" s="17" t="s">
        <v>146</v>
      </c>
      <c r="F236" s="107" t="s">
        <v>382</v>
      </c>
      <c r="G236">
        <v>6.1150000000000002</v>
      </c>
      <c r="H236">
        <v>30.558</v>
      </c>
      <c r="I236">
        <v>0</v>
      </c>
      <c r="J236" s="114">
        <v>22</v>
      </c>
      <c r="K236">
        <f t="shared" si="16"/>
        <v>22</v>
      </c>
    </row>
    <row r="237" spans="1:11" x14ac:dyDescent="0.25">
      <c r="A237" t="str">
        <f t="shared" si="14"/>
        <v>E2</v>
      </c>
      <c r="B237">
        <v>133</v>
      </c>
      <c r="C237" s="17" t="s">
        <v>47</v>
      </c>
      <c r="D237">
        <v>2</v>
      </c>
      <c r="E237" s="17" t="s">
        <v>146</v>
      </c>
      <c r="F237" s="107" t="s">
        <v>382</v>
      </c>
      <c r="G237">
        <v>6.1319999999999997</v>
      </c>
      <c r="H237">
        <v>280.851</v>
      </c>
      <c r="I237">
        <v>199.054</v>
      </c>
      <c r="J237" s="114">
        <v>22</v>
      </c>
      <c r="K237">
        <f t="shared" si="16"/>
        <v>22</v>
      </c>
    </row>
    <row r="238" spans="1:11" x14ac:dyDescent="0.25">
      <c r="A238" t="str">
        <f t="shared" si="14"/>
        <v>F2</v>
      </c>
      <c r="B238">
        <v>119</v>
      </c>
      <c r="C238" s="18" t="s">
        <v>49</v>
      </c>
      <c r="D238">
        <v>2</v>
      </c>
      <c r="E238" s="18" t="s">
        <v>40</v>
      </c>
      <c r="F238" s="108" t="s">
        <v>383</v>
      </c>
      <c r="G238">
        <v>19.960999999999999</v>
      </c>
      <c r="H238">
        <v>211.126</v>
      </c>
      <c r="I238">
        <v>4435.402</v>
      </c>
      <c r="J238" s="114">
        <v>22</v>
      </c>
      <c r="K238">
        <v>12</v>
      </c>
    </row>
    <row r="239" spans="1:11" x14ac:dyDescent="0.25">
      <c r="A239" t="str">
        <f t="shared" si="14"/>
        <v>G2</v>
      </c>
      <c r="B239">
        <v>135</v>
      </c>
      <c r="C239" s="4" t="s">
        <v>51</v>
      </c>
      <c r="D239">
        <v>2</v>
      </c>
      <c r="E239" s="4" t="s">
        <v>54</v>
      </c>
      <c r="F239" s="109" t="s">
        <v>382</v>
      </c>
      <c r="G239">
        <v>0</v>
      </c>
      <c r="H239">
        <v>10.907999999999999</v>
      </c>
      <c r="I239">
        <v>0</v>
      </c>
      <c r="J239" s="114">
        <v>22</v>
      </c>
      <c r="K239">
        <f t="shared" ref="K239:K249" si="17">J239</f>
        <v>22</v>
      </c>
    </row>
    <row r="240" spans="1:11" x14ac:dyDescent="0.25">
      <c r="A240" t="str">
        <f t="shared" si="14"/>
        <v>H2</v>
      </c>
      <c r="B240">
        <v>999</v>
      </c>
      <c r="C240" s="18" t="s">
        <v>53</v>
      </c>
      <c r="D240">
        <v>2</v>
      </c>
      <c r="E240" s="18" t="s">
        <v>40</v>
      </c>
      <c r="F240" s="108" t="s">
        <v>383</v>
      </c>
      <c r="J240" s="114">
        <v>22</v>
      </c>
      <c r="K240">
        <f t="shared" si="17"/>
        <v>22</v>
      </c>
    </row>
    <row r="241" spans="1:11" x14ac:dyDescent="0.25">
      <c r="A241" t="str">
        <f t="shared" si="14"/>
        <v>I2</v>
      </c>
      <c r="B241">
        <v>132</v>
      </c>
      <c r="C241" s="4" t="s">
        <v>56</v>
      </c>
      <c r="D241">
        <v>2</v>
      </c>
      <c r="E241" s="4" t="s">
        <v>54</v>
      </c>
      <c r="F241" s="109" t="s">
        <v>383</v>
      </c>
      <c r="G241">
        <v>0</v>
      </c>
      <c r="H241">
        <v>0</v>
      </c>
      <c r="I241">
        <v>0</v>
      </c>
      <c r="J241" s="114">
        <v>22</v>
      </c>
      <c r="K241">
        <f t="shared" si="17"/>
        <v>22</v>
      </c>
    </row>
    <row r="242" spans="1:11" x14ac:dyDescent="0.25">
      <c r="A242" t="str">
        <f t="shared" si="14"/>
        <v>J2</v>
      </c>
      <c r="B242">
        <v>128</v>
      </c>
      <c r="C242" s="15" t="s">
        <v>80</v>
      </c>
      <c r="D242">
        <v>2</v>
      </c>
      <c r="E242" s="15" t="s">
        <v>142</v>
      </c>
      <c r="F242" s="29" t="s">
        <v>382</v>
      </c>
      <c r="G242">
        <v>4.2430000000000003</v>
      </c>
      <c r="H242">
        <v>53.962000000000003</v>
      </c>
      <c r="I242">
        <v>94.680999999999997</v>
      </c>
      <c r="J242" s="114">
        <v>22</v>
      </c>
      <c r="K242">
        <f t="shared" si="17"/>
        <v>22</v>
      </c>
    </row>
    <row r="243" spans="1:11" x14ac:dyDescent="0.25">
      <c r="A243" t="str">
        <f t="shared" si="14"/>
        <v>K2</v>
      </c>
      <c r="B243">
        <v>141</v>
      </c>
      <c r="C243" s="17" t="s">
        <v>82</v>
      </c>
      <c r="D243">
        <v>2</v>
      </c>
      <c r="E243" s="17" t="s">
        <v>146</v>
      </c>
      <c r="F243" s="107" t="s">
        <v>383</v>
      </c>
      <c r="G243">
        <v>22.119</v>
      </c>
      <c r="H243">
        <v>54.237000000000002</v>
      </c>
      <c r="I243">
        <v>181.17400000000001</v>
      </c>
      <c r="J243" s="114">
        <v>22</v>
      </c>
      <c r="K243">
        <f t="shared" si="17"/>
        <v>22</v>
      </c>
    </row>
    <row r="244" spans="1:11" x14ac:dyDescent="0.25">
      <c r="A244" t="str">
        <f t="shared" si="14"/>
        <v>L2</v>
      </c>
      <c r="B244">
        <v>131</v>
      </c>
      <c r="C244" s="3" t="s">
        <v>58</v>
      </c>
      <c r="D244">
        <v>2</v>
      </c>
      <c r="E244" s="3" t="s">
        <v>71</v>
      </c>
      <c r="F244" s="28" t="s">
        <v>383</v>
      </c>
      <c r="G244">
        <v>0</v>
      </c>
      <c r="H244">
        <v>0</v>
      </c>
      <c r="I244">
        <v>0</v>
      </c>
      <c r="J244" s="114">
        <v>22</v>
      </c>
      <c r="K244">
        <f t="shared" si="17"/>
        <v>22</v>
      </c>
    </row>
    <row r="245" spans="1:11" x14ac:dyDescent="0.25">
      <c r="A245" t="str">
        <f t="shared" si="14"/>
        <v>M2</v>
      </c>
      <c r="B245">
        <v>140</v>
      </c>
      <c r="C245" s="15" t="s">
        <v>60</v>
      </c>
      <c r="D245">
        <v>2</v>
      </c>
      <c r="E245" s="15" t="s">
        <v>142</v>
      </c>
      <c r="F245" s="29" t="s">
        <v>383</v>
      </c>
      <c r="G245">
        <v>8.3089999999999993</v>
      </c>
      <c r="H245">
        <v>33.113</v>
      </c>
      <c r="I245">
        <v>96.965000000000003</v>
      </c>
      <c r="J245" s="114">
        <v>22</v>
      </c>
      <c r="K245">
        <f t="shared" si="17"/>
        <v>22</v>
      </c>
    </row>
    <row r="246" spans="1:11" x14ac:dyDescent="0.25">
      <c r="A246" t="str">
        <f t="shared" si="14"/>
        <v>N2</v>
      </c>
      <c r="B246">
        <v>115</v>
      </c>
      <c r="C246" s="18" t="s">
        <v>62</v>
      </c>
      <c r="D246">
        <v>2</v>
      </c>
      <c r="E246" s="18" t="s">
        <v>40</v>
      </c>
      <c r="F246" s="108" t="s">
        <v>383</v>
      </c>
      <c r="G246">
        <v>11.096</v>
      </c>
      <c r="H246">
        <v>1351.59</v>
      </c>
      <c r="I246">
        <v>6418.8729999999996</v>
      </c>
      <c r="J246" s="114">
        <v>22</v>
      </c>
      <c r="K246">
        <f t="shared" si="17"/>
        <v>22</v>
      </c>
    </row>
    <row r="247" spans="1:11" x14ac:dyDescent="0.25">
      <c r="A247" t="str">
        <f t="shared" si="14"/>
        <v>O2</v>
      </c>
      <c r="B247">
        <v>134</v>
      </c>
      <c r="C247" s="3" t="s">
        <v>64</v>
      </c>
      <c r="D247">
        <v>2</v>
      </c>
      <c r="E247" s="3" t="s">
        <v>71</v>
      </c>
      <c r="F247" s="28" t="s">
        <v>383</v>
      </c>
      <c r="G247">
        <v>0</v>
      </c>
      <c r="H247">
        <v>0</v>
      </c>
      <c r="I247">
        <v>0</v>
      </c>
      <c r="J247" s="114">
        <v>22</v>
      </c>
      <c r="K247">
        <f t="shared" si="17"/>
        <v>22</v>
      </c>
    </row>
    <row r="248" spans="1:11" x14ac:dyDescent="0.25">
      <c r="A248" t="str">
        <f t="shared" si="14"/>
        <v>P2</v>
      </c>
      <c r="B248">
        <v>129</v>
      </c>
      <c r="C248" s="15" t="s">
        <v>66</v>
      </c>
      <c r="D248">
        <v>2</v>
      </c>
      <c r="E248" s="15" t="s">
        <v>142</v>
      </c>
      <c r="F248" s="29" t="s">
        <v>382</v>
      </c>
      <c r="G248">
        <v>5.3250000000000002</v>
      </c>
      <c r="H248">
        <v>44.747999999999998</v>
      </c>
      <c r="I248">
        <v>265.69499999999999</v>
      </c>
      <c r="J248" s="114">
        <v>22</v>
      </c>
      <c r="K248">
        <f t="shared" si="17"/>
        <v>22</v>
      </c>
    </row>
    <row r="249" spans="1:11" x14ac:dyDescent="0.25">
      <c r="A249" t="str">
        <f t="shared" si="14"/>
        <v>Q2</v>
      </c>
      <c r="B249">
        <v>124</v>
      </c>
      <c r="C249" s="18" t="s">
        <v>385</v>
      </c>
      <c r="D249">
        <v>2</v>
      </c>
      <c r="E249" s="18" t="s">
        <v>40</v>
      </c>
      <c r="F249" s="108" t="s">
        <v>382</v>
      </c>
      <c r="G249">
        <v>19.132999999999999</v>
      </c>
      <c r="H249">
        <v>5719.0860000000002</v>
      </c>
      <c r="I249">
        <v>3780.5590000000002</v>
      </c>
      <c r="J249" s="114">
        <v>22</v>
      </c>
      <c r="K249">
        <f t="shared" si="17"/>
        <v>22</v>
      </c>
    </row>
    <row r="250" spans="1:11" x14ac:dyDescent="0.25">
      <c r="A250" t="str">
        <f t="shared" si="14"/>
        <v>R2</v>
      </c>
      <c r="B250">
        <v>118</v>
      </c>
      <c r="C250" s="18" t="s">
        <v>68</v>
      </c>
      <c r="D250">
        <v>2</v>
      </c>
      <c r="E250" s="18" t="s">
        <v>40</v>
      </c>
      <c r="F250" s="108" t="s">
        <v>382</v>
      </c>
      <c r="G250">
        <v>25.135000000000002</v>
      </c>
      <c r="H250">
        <v>637.93700000000001</v>
      </c>
      <c r="I250">
        <v>5581.4639999999999</v>
      </c>
      <c r="J250" s="114">
        <v>22</v>
      </c>
      <c r="K250">
        <v>12</v>
      </c>
    </row>
    <row r="251" spans="1:11" x14ac:dyDescent="0.25">
      <c r="A251" t="str">
        <f t="shared" si="14"/>
        <v>S2</v>
      </c>
      <c r="B251">
        <v>125</v>
      </c>
      <c r="C251" s="15" t="s">
        <v>70</v>
      </c>
      <c r="D251">
        <v>2</v>
      </c>
      <c r="E251" s="15" t="s">
        <v>142</v>
      </c>
      <c r="F251" s="29" t="s">
        <v>383</v>
      </c>
      <c r="G251">
        <v>23.387</v>
      </c>
      <c r="H251">
        <v>441.54899999999998</v>
      </c>
      <c r="I251">
        <v>736.01</v>
      </c>
      <c r="J251" s="114">
        <v>22</v>
      </c>
      <c r="K251">
        <f t="shared" ref="K251:K256" si="18">J251</f>
        <v>22</v>
      </c>
    </row>
    <row r="252" spans="1:11" x14ac:dyDescent="0.25">
      <c r="A252" s="66" t="str">
        <f t="shared" si="14"/>
        <v>T2</v>
      </c>
      <c r="B252" s="66">
        <v>138</v>
      </c>
      <c r="C252" s="67" t="s">
        <v>386</v>
      </c>
      <c r="D252" s="66">
        <v>2</v>
      </c>
      <c r="E252" s="67" t="s">
        <v>54</v>
      </c>
      <c r="F252" s="117" t="s">
        <v>383</v>
      </c>
      <c r="G252">
        <v>0</v>
      </c>
      <c r="H252">
        <v>3.9369999999999998</v>
      </c>
      <c r="I252">
        <v>0</v>
      </c>
      <c r="J252" s="114">
        <v>22</v>
      </c>
      <c r="K252">
        <f t="shared" si="18"/>
        <v>22</v>
      </c>
    </row>
    <row r="253" spans="1:11" x14ac:dyDescent="0.25">
      <c r="A253" t="str">
        <f t="shared" si="14"/>
        <v>U2</v>
      </c>
      <c r="B253">
        <v>121</v>
      </c>
      <c r="C253" s="17" t="s">
        <v>388</v>
      </c>
      <c r="D253">
        <v>2</v>
      </c>
      <c r="E253" s="17" t="s">
        <v>146</v>
      </c>
      <c r="F253" s="107" t="s">
        <v>383</v>
      </c>
      <c r="G253">
        <v>6.1459999999999999</v>
      </c>
      <c r="H253">
        <v>984.11800000000005</v>
      </c>
      <c r="I253">
        <v>4373.42</v>
      </c>
      <c r="J253" s="114">
        <v>22</v>
      </c>
      <c r="K253">
        <f t="shared" si="18"/>
        <v>22</v>
      </c>
    </row>
    <row r="254" spans="1:11" x14ac:dyDescent="0.25">
      <c r="A254" t="str">
        <f t="shared" si="14"/>
        <v>V2</v>
      </c>
      <c r="B254">
        <v>127</v>
      </c>
      <c r="C254" s="17" t="s">
        <v>389</v>
      </c>
      <c r="D254">
        <v>2</v>
      </c>
      <c r="E254" s="17" t="s">
        <v>146</v>
      </c>
      <c r="F254" s="107" t="s">
        <v>383</v>
      </c>
      <c r="G254">
        <v>10.317</v>
      </c>
      <c r="H254">
        <v>27.806999999999999</v>
      </c>
      <c r="I254">
        <v>289.44600000000003</v>
      </c>
      <c r="J254" s="114">
        <v>22</v>
      </c>
      <c r="K254">
        <f t="shared" si="18"/>
        <v>22</v>
      </c>
    </row>
    <row r="255" spans="1:11" x14ac:dyDescent="0.25">
      <c r="A255" t="str">
        <f t="shared" si="14"/>
        <v>X2</v>
      </c>
      <c r="B255">
        <v>139</v>
      </c>
      <c r="C255" s="17" t="s">
        <v>390</v>
      </c>
      <c r="D255">
        <v>2</v>
      </c>
      <c r="E255" s="17" t="s">
        <v>146</v>
      </c>
      <c r="F255" s="107" t="s">
        <v>383</v>
      </c>
      <c r="G255">
        <v>12.617000000000001</v>
      </c>
      <c r="H255">
        <v>15.816000000000001</v>
      </c>
      <c r="I255">
        <v>198.42400000000001</v>
      </c>
      <c r="J255" s="114">
        <v>22</v>
      </c>
      <c r="K255">
        <f t="shared" si="18"/>
        <v>22</v>
      </c>
    </row>
    <row r="256" spans="1:11" x14ac:dyDescent="0.25">
      <c r="A256" t="str">
        <f t="shared" si="14"/>
        <v>Y2</v>
      </c>
      <c r="B256">
        <v>122</v>
      </c>
      <c r="C256" s="18" t="s">
        <v>384</v>
      </c>
      <c r="D256">
        <v>2</v>
      </c>
      <c r="E256" s="18" t="s">
        <v>40</v>
      </c>
      <c r="F256" s="108" t="s">
        <v>383</v>
      </c>
      <c r="G256">
        <v>29.902999999999999</v>
      </c>
      <c r="H256">
        <v>967.88400000000001</v>
      </c>
      <c r="I256">
        <v>2328.8789999999999</v>
      </c>
      <c r="J256" s="114">
        <v>22</v>
      </c>
      <c r="K256">
        <f t="shared" si="18"/>
        <v>22</v>
      </c>
    </row>
    <row r="257" spans="1:11" x14ac:dyDescent="0.25">
      <c r="A257" t="str">
        <f t="shared" si="14"/>
        <v>Z2</v>
      </c>
      <c r="B257">
        <v>116</v>
      </c>
      <c r="C257" s="15" t="s">
        <v>387</v>
      </c>
      <c r="D257">
        <v>2</v>
      </c>
      <c r="E257" s="15" t="s">
        <v>142</v>
      </c>
      <c r="F257" s="29" t="s">
        <v>382</v>
      </c>
      <c r="G257">
        <v>6.5190000000000001</v>
      </c>
      <c r="H257">
        <v>259.38299999999998</v>
      </c>
      <c r="I257">
        <v>2719.3090000000002</v>
      </c>
      <c r="J257" s="114">
        <v>22</v>
      </c>
      <c r="K257">
        <v>12</v>
      </c>
    </row>
    <row r="258" spans="1:11" x14ac:dyDescent="0.25">
      <c r="A258" t="str">
        <f t="shared" si="14"/>
        <v>Æ2</v>
      </c>
      <c r="B258">
        <v>120</v>
      </c>
      <c r="C258" s="15" t="s">
        <v>202</v>
      </c>
      <c r="D258">
        <v>2</v>
      </c>
      <c r="E258" s="15" t="s">
        <v>142</v>
      </c>
      <c r="F258" s="29" t="s">
        <v>383</v>
      </c>
      <c r="G258">
        <v>13.47</v>
      </c>
      <c r="H258">
        <v>169.34700000000001</v>
      </c>
      <c r="I258">
        <v>589.91700000000003</v>
      </c>
      <c r="J258" s="114">
        <v>22</v>
      </c>
      <c r="K258">
        <v>12</v>
      </c>
    </row>
    <row r="259" spans="1:11" x14ac:dyDescent="0.25">
      <c r="A259" t="str">
        <f t="shared" si="14"/>
        <v>Ø2</v>
      </c>
      <c r="B259">
        <v>137</v>
      </c>
      <c r="C259" s="3" t="s">
        <v>175</v>
      </c>
      <c r="D259">
        <v>2</v>
      </c>
      <c r="E259" s="3" t="s">
        <v>71</v>
      </c>
      <c r="F259" s="28" t="s">
        <v>382</v>
      </c>
      <c r="G259">
        <v>0</v>
      </c>
      <c r="H259">
        <v>14.323</v>
      </c>
      <c r="I259">
        <v>0</v>
      </c>
      <c r="J259" s="114">
        <v>22</v>
      </c>
      <c r="K259">
        <f>J259</f>
        <v>22</v>
      </c>
    </row>
    <row r="260" spans="1:11" x14ac:dyDescent="0.25">
      <c r="A260" t="str">
        <f t="shared" si="14"/>
        <v>Å2</v>
      </c>
      <c r="B260">
        <v>130</v>
      </c>
      <c r="C260" s="17" t="s">
        <v>145</v>
      </c>
      <c r="D260">
        <v>2</v>
      </c>
      <c r="E260" s="17" t="s">
        <v>146</v>
      </c>
      <c r="F260" s="107" t="s">
        <v>383</v>
      </c>
      <c r="G260">
        <v>5.8609999999999998</v>
      </c>
      <c r="H260">
        <v>107.35599999999999</v>
      </c>
      <c r="I260">
        <v>0</v>
      </c>
      <c r="J260" s="114">
        <v>22</v>
      </c>
      <c r="K260">
        <f>J260</f>
        <v>22</v>
      </c>
    </row>
    <row r="261" spans="1:11" x14ac:dyDescent="0.25">
      <c r="A261" t="str">
        <f t="shared" si="14"/>
        <v>A3</v>
      </c>
      <c r="B261">
        <v>150</v>
      </c>
      <c r="C261" s="54" t="s">
        <v>36</v>
      </c>
      <c r="D261">
        <v>3</v>
      </c>
      <c r="E261" s="54" t="s">
        <v>40</v>
      </c>
      <c r="F261" s="56" t="s">
        <v>382</v>
      </c>
      <c r="G261">
        <v>41.454000000000001</v>
      </c>
      <c r="H261">
        <v>255.56299999999999</v>
      </c>
      <c r="I261">
        <v>2536.3530000000001</v>
      </c>
      <c r="J261" s="114">
        <v>22</v>
      </c>
      <c r="K261">
        <v>12</v>
      </c>
    </row>
    <row r="262" spans="1:11" x14ac:dyDescent="0.25">
      <c r="A262" t="str">
        <f t="shared" si="14"/>
        <v>ALPHA3</v>
      </c>
      <c r="B262">
        <v>149</v>
      </c>
      <c r="C262" s="49" t="s">
        <v>586</v>
      </c>
      <c r="D262">
        <v>3</v>
      </c>
      <c r="E262" s="49" t="s">
        <v>142</v>
      </c>
      <c r="F262" s="50" t="s">
        <v>383</v>
      </c>
      <c r="G262">
        <v>52.1</v>
      </c>
      <c r="H262">
        <v>507.233</v>
      </c>
      <c r="I262">
        <v>3140.6350000000002</v>
      </c>
      <c r="J262" s="114">
        <v>22</v>
      </c>
      <c r="K262">
        <v>12</v>
      </c>
    </row>
    <row r="263" spans="1:11" x14ac:dyDescent="0.25">
      <c r="A263" t="str">
        <f t="shared" si="14"/>
        <v>B3</v>
      </c>
      <c r="B263">
        <v>143</v>
      </c>
      <c r="C263" s="49" t="s">
        <v>39</v>
      </c>
      <c r="D263">
        <v>3</v>
      </c>
      <c r="E263" s="49" t="s">
        <v>40</v>
      </c>
      <c r="F263" s="50" t="s">
        <v>382</v>
      </c>
      <c r="G263">
        <v>28.844999999999999</v>
      </c>
      <c r="H263">
        <v>1529.088</v>
      </c>
      <c r="I263">
        <v>3998.922</v>
      </c>
      <c r="J263" s="114">
        <v>22</v>
      </c>
      <c r="K263">
        <f>J263</f>
        <v>22</v>
      </c>
    </row>
    <row r="264" spans="1:11" x14ac:dyDescent="0.25">
      <c r="A264" t="str">
        <f t="shared" si="14"/>
        <v>BETA3</v>
      </c>
      <c r="B264">
        <v>153</v>
      </c>
      <c r="C264" s="24" t="s">
        <v>584</v>
      </c>
      <c r="D264">
        <v>3</v>
      </c>
      <c r="E264" s="48" t="s">
        <v>142</v>
      </c>
      <c r="F264" s="36" t="s">
        <v>383</v>
      </c>
      <c r="G264">
        <v>9.7799999999999994</v>
      </c>
      <c r="H264">
        <v>40.091000000000001</v>
      </c>
      <c r="I264">
        <v>238.24199999999999</v>
      </c>
      <c r="J264" s="114">
        <v>22</v>
      </c>
      <c r="K264">
        <f>J264</f>
        <v>22</v>
      </c>
    </row>
    <row r="265" spans="1:11" x14ac:dyDescent="0.25">
      <c r="A265" t="str">
        <f t="shared" si="14"/>
        <v>D3</v>
      </c>
      <c r="B265">
        <v>145</v>
      </c>
      <c r="C265" s="49" t="s">
        <v>45</v>
      </c>
      <c r="D265">
        <v>3</v>
      </c>
      <c r="E265" s="49" t="s">
        <v>40</v>
      </c>
      <c r="F265" s="50" t="s">
        <v>383</v>
      </c>
      <c r="G265">
        <v>41.454000000000001</v>
      </c>
      <c r="H265">
        <v>272.33999999999997</v>
      </c>
      <c r="I265">
        <v>2127.3670000000002</v>
      </c>
      <c r="J265" s="114">
        <v>22</v>
      </c>
      <c r="K265">
        <v>12</v>
      </c>
    </row>
    <row r="266" spans="1:11" x14ac:dyDescent="0.25">
      <c r="A266" t="str">
        <f t="shared" si="14"/>
        <v>G3</v>
      </c>
      <c r="B266">
        <v>164</v>
      </c>
      <c r="C266" s="106" t="s">
        <v>51</v>
      </c>
      <c r="D266">
        <v>3</v>
      </c>
      <c r="E266" s="48" t="s">
        <v>71</v>
      </c>
      <c r="F266" s="51" t="s">
        <v>382</v>
      </c>
      <c r="G266">
        <v>0</v>
      </c>
      <c r="H266">
        <v>0</v>
      </c>
      <c r="I266">
        <v>0</v>
      </c>
      <c r="J266" s="114">
        <v>22</v>
      </c>
      <c r="K266">
        <f>J266</f>
        <v>22</v>
      </c>
    </row>
    <row r="267" spans="1:11" x14ac:dyDescent="0.25">
      <c r="A267" t="str">
        <f t="shared" si="14"/>
        <v>GAMMA3</v>
      </c>
      <c r="B267">
        <v>148</v>
      </c>
      <c r="C267" s="49" t="s">
        <v>585</v>
      </c>
      <c r="D267">
        <v>3</v>
      </c>
      <c r="E267" s="49" t="s">
        <v>40</v>
      </c>
      <c r="F267" s="50" t="s">
        <v>383</v>
      </c>
      <c r="G267">
        <v>11.064</v>
      </c>
      <c r="H267">
        <v>851.95799999999997</v>
      </c>
      <c r="I267">
        <v>5700.1610000000001</v>
      </c>
      <c r="J267" s="114">
        <v>22</v>
      </c>
      <c r="K267">
        <v>12</v>
      </c>
    </row>
    <row r="268" spans="1:11" x14ac:dyDescent="0.25">
      <c r="A268" t="str">
        <f t="shared" si="14"/>
        <v>H3</v>
      </c>
      <c r="B268">
        <v>146</v>
      </c>
      <c r="C268" s="49" t="s">
        <v>53</v>
      </c>
      <c r="D268">
        <v>3</v>
      </c>
      <c r="E268" s="49" t="s">
        <v>40</v>
      </c>
      <c r="F268" s="50" t="s">
        <v>382</v>
      </c>
      <c r="G268">
        <v>64.331000000000003</v>
      </c>
      <c r="H268">
        <v>644.80399999999997</v>
      </c>
      <c r="I268">
        <v>5794.701</v>
      </c>
      <c r="J268" s="114">
        <v>22</v>
      </c>
      <c r="K268">
        <f>J268</f>
        <v>22</v>
      </c>
    </row>
    <row r="269" spans="1:11" x14ac:dyDescent="0.25">
      <c r="A269" t="str">
        <f t="shared" si="14"/>
        <v>I3</v>
      </c>
      <c r="B269">
        <v>152</v>
      </c>
      <c r="C269" s="49" t="s">
        <v>56</v>
      </c>
      <c r="D269">
        <v>3</v>
      </c>
      <c r="E269" s="49" t="s">
        <v>142</v>
      </c>
      <c r="F269" s="50" t="s">
        <v>382</v>
      </c>
      <c r="G269">
        <v>2.9980000000000002</v>
      </c>
      <c r="H269">
        <v>50.884</v>
      </c>
      <c r="I269">
        <v>1387.058</v>
      </c>
      <c r="J269" s="114">
        <v>22</v>
      </c>
      <c r="K269">
        <v>12</v>
      </c>
    </row>
    <row r="270" spans="1:11" x14ac:dyDescent="0.25">
      <c r="A270" t="str">
        <f t="shared" si="14"/>
        <v>J3</v>
      </c>
      <c r="B270">
        <v>155</v>
      </c>
      <c r="C270" s="6" t="s">
        <v>80</v>
      </c>
      <c r="D270">
        <v>3</v>
      </c>
      <c r="E270" s="48" t="s">
        <v>40</v>
      </c>
      <c r="F270" s="5" t="s">
        <v>383</v>
      </c>
      <c r="G270">
        <v>121.47799999999999</v>
      </c>
      <c r="H270">
        <v>529.18499999999995</v>
      </c>
      <c r="I270">
        <v>5952.951</v>
      </c>
      <c r="J270" s="114">
        <v>22</v>
      </c>
      <c r="K270">
        <f>J270</f>
        <v>22</v>
      </c>
    </row>
    <row r="271" spans="1:11" x14ac:dyDescent="0.25">
      <c r="A271" t="str">
        <f t="shared" si="14"/>
        <v>K3</v>
      </c>
      <c r="B271">
        <v>161</v>
      </c>
      <c r="C271" s="52" t="s">
        <v>82</v>
      </c>
      <c r="D271">
        <v>3</v>
      </c>
      <c r="E271" s="48" t="s">
        <v>54</v>
      </c>
      <c r="F271" s="53" t="s">
        <v>382</v>
      </c>
      <c r="G271">
        <v>1.7</v>
      </c>
      <c r="H271">
        <v>0</v>
      </c>
      <c r="I271">
        <v>0</v>
      </c>
      <c r="J271" s="114">
        <v>22</v>
      </c>
      <c r="K271">
        <f>J271</f>
        <v>22</v>
      </c>
    </row>
    <row r="272" spans="1:11" x14ac:dyDescent="0.25">
      <c r="A272" t="str">
        <f t="shared" si="14"/>
        <v>L3</v>
      </c>
      <c r="B272">
        <v>151</v>
      </c>
      <c r="C272" s="49" t="s">
        <v>58</v>
      </c>
      <c r="D272">
        <v>3</v>
      </c>
      <c r="E272" s="49" t="s">
        <v>142</v>
      </c>
      <c r="F272" s="50" t="s">
        <v>383</v>
      </c>
      <c r="G272">
        <v>32.877000000000002</v>
      </c>
      <c r="H272">
        <v>129.42099999999999</v>
      </c>
      <c r="I272">
        <v>423.71199999999999</v>
      </c>
      <c r="J272" s="114">
        <v>22</v>
      </c>
      <c r="K272">
        <v>12</v>
      </c>
    </row>
    <row r="273" spans="1:11" x14ac:dyDescent="0.25">
      <c r="A273" t="str">
        <f t="shared" si="14"/>
        <v>N3</v>
      </c>
      <c r="B273">
        <v>159</v>
      </c>
      <c r="C273" s="25" t="s">
        <v>62</v>
      </c>
      <c r="D273">
        <v>3</v>
      </c>
      <c r="E273" s="48" t="s">
        <v>146</v>
      </c>
      <c r="F273" s="26" t="s">
        <v>383</v>
      </c>
      <c r="G273">
        <v>2.9470000000000001</v>
      </c>
      <c r="H273">
        <v>470.84300000000002</v>
      </c>
      <c r="I273">
        <v>369.26100000000002</v>
      </c>
      <c r="J273" s="114">
        <v>22</v>
      </c>
      <c r="K273">
        <f t="shared" ref="K273:K284" si="19">J273</f>
        <v>22</v>
      </c>
    </row>
    <row r="274" spans="1:11" x14ac:dyDescent="0.25">
      <c r="A274" s="50" t="str">
        <f t="shared" si="14"/>
        <v>O3</v>
      </c>
      <c r="B274" s="50">
        <v>157</v>
      </c>
      <c r="C274" s="49" t="s">
        <v>64</v>
      </c>
      <c r="D274" s="50">
        <v>3</v>
      </c>
      <c r="E274" s="49" t="s">
        <v>146</v>
      </c>
      <c r="F274" s="50" t="s">
        <v>382</v>
      </c>
      <c r="G274">
        <v>3.6080000000000001</v>
      </c>
      <c r="H274">
        <v>0</v>
      </c>
      <c r="I274">
        <v>0</v>
      </c>
      <c r="J274" s="114">
        <v>22</v>
      </c>
      <c r="K274">
        <f t="shared" si="19"/>
        <v>22</v>
      </c>
    </row>
    <row r="275" spans="1:11" x14ac:dyDescent="0.25">
      <c r="A275" t="str">
        <f t="shared" ref="A275:A285" si="20">C275&amp;D275</f>
        <v>P3</v>
      </c>
      <c r="B275">
        <v>999</v>
      </c>
      <c r="C275" s="49" t="s">
        <v>66</v>
      </c>
      <c r="D275">
        <v>3</v>
      </c>
      <c r="E275" s="49" t="s">
        <v>71</v>
      </c>
      <c r="F275" s="50" t="s">
        <v>383</v>
      </c>
      <c r="J275" s="114">
        <v>22</v>
      </c>
      <c r="K275">
        <f t="shared" si="19"/>
        <v>22</v>
      </c>
    </row>
    <row r="276" spans="1:11" x14ac:dyDescent="0.25">
      <c r="A276" t="str">
        <f t="shared" si="20"/>
        <v>Q3</v>
      </c>
      <c r="B276">
        <v>165</v>
      </c>
      <c r="C276" s="52" t="s">
        <v>385</v>
      </c>
      <c r="D276">
        <v>3</v>
      </c>
      <c r="E276" s="48" t="s">
        <v>54</v>
      </c>
      <c r="F276" s="53" t="s">
        <v>383</v>
      </c>
      <c r="G276">
        <v>0</v>
      </c>
      <c r="H276">
        <v>166.863</v>
      </c>
      <c r="I276">
        <v>67.935000000000002</v>
      </c>
      <c r="J276" s="114">
        <v>22</v>
      </c>
      <c r="K276">
        <f t="shared" si="19"/>
        <v>22</v>
      </c>
    </row>
    <row r="277" spans="1:11" x14ac:dyDescent="0.25">
      <c r="A277" t="str">
        <f t="shared" si="20"/>
        <v>R3</v>
      </c>
      <c r="B277">
        <v>160</v>
      </c>
      <c r="C277" s="106" t="s">
        <v>68</v>
      </c>
      <c r="D277">
        <v>3</v>
      </c>
      <c r="E277" s="48" t="s">
        <v>71</v>
      </c>
      <c r="F277" s="51" t="s">
        <v>383</v>
      </c>
      <c r="G277">
        <v>0</v>
      </c>
      <c r="H277">
        <v>0</v>
      </c>
      <c r="I277">
        <v>0</v>
      </c>
      <c r="J277" s="114">
        <v>22</v>
      </c>
      <c r="K277">
        <f t="shared" si="19"/>
        <v>22</v>
      </c>
    </row>
    <row r="278" spans="1:11" x14ac:dyDescent="0.25">
      <c r="A278" t="str">
        <f t="shared" si="20"/>
        <v>T3</v>
      </c>
      <c r="B278">
        <v>144</v>
      </c>
      <c r="C278" s="49" t="s">
        <v>386</v>
      </c>
      <c r="D278">
        <v>3</v>
      </c>
      <c r="E278" s="49" t="s">
        <v>146</v>
      </c>
      <c r="F278" s="50" t="s">
        <v>383</v>
      </c>
      <c r="G278">
        <v>25.971</v>
      </c>
      <c r="H278">
        <v>408.14600000000002</v>
      </c>
      <c r="I278">
        <v>4499.2290000000003</v>
      </c>
      <c r="J278" s="114">
        <v>22</v>
      </c>
      <c r="K278">
        <f t="shared" si="19"/>
        <v>22</v>
      </c>
    </row>
    <row r="279" spans="1:11" x14ac:dyDescent="0.25">
      <c r="A279" t="str">
        <f t="shared" si="20"/>
        <v>U3</v>
      </c>
      <c r="B279">
        <v>142</v>
      </c>
      <c r="C279" s="49" t="s">
        <v>388</v>
      </c>
      <c r="D279">
        <v>3</v>
      </c>
      <c r="E279" s="49" t="s">
        <v>146</v>
      </c>
      <c r="F279" s="50" t="s">
        <v>382</v>
      </c>
      <c r="G279">
        <v>71.852999999999994</v>
      </c>
      <c r="H279">
        <v>463.70100000000002</v>
      </c>
      <c r="I279">
        <v>2481.0920000000001</v>
      </c>
      <c r="J279" s="114">
        <v>22</v>
      </c>
      <c r="K279">
        <f t="shared" si="19"/>
        <v>22</v>
      </c>
    </row>
    <row r="280" spans="1:11" x14ac:dyDescent="0.25">
      <c r="A280" t="str">
        <f t="shared" si="20"/>
        <v>V3</v>
      </c>
      <c r="B280">
        <v>158</v>
      </c>
      <c r="C280" s="25" t="s">
        <v>389</v>
      </c>
      <c r="D280">
        <v>3</v>
      </c>
      <c r="E280" s="48" t="s">
        <v>146</v>
      </c>
      <c r="F280" s="26" t="s">
        <v>382</v>
      </c>
      <c r="G280">
        <v>7.8E-2</v>
      </c>
      <c r="H280">
        <v>0</v>
      </c>
      <c r="I280">
        <v>235.374</v>
      </c>
      <c r="J280" s="114">
        <v>22</v>
      </c>
      <c r="K280">
        <f t="shared" si="19"/>
        <v>22</v>
      </c>
    </row>
    <row r="281" spans="1:11" x14ac:dyDescent="0.25">
      <c r="A281" t="str">
        <f t="shared" si="20"/>
        <v>X3</v>
      </c>
      <c r="B281">
        <v>162</v>
      </c>
      <c r="C281" s="106" t="s">
        <v>390</v>
      </c>
      <c r="D281">
        <v>3</v>
      </c>
      <c r="E281" s="48" t="s">
        <v>71</v>
      </c>
      <c r="F281" s="51" t="s">
        <v>382</v>
      </c>
      <c r="G281">
        <v>0</v>
      </c>
      <c r="H281">
        <v>0</v>
      </c>
      <c r="I281">
        <v>0</v>
      </c>
      <c r="J281" s="114">
        <v>22</v>
      </c>
      <c r="K281">
        <f t="shared" si="19"/>
        <v>22</v>
      </c>
    </row>
    <row r="282" spans="1:11" x14ac:dyDescent="0.25">
      <c r="A282" t="str">
        <f t="shared" si="20"/>
        <v>Y3</v>
      </c>
      <c r="B282">
        <v>156</v>
      </c>
      <c r="C282" s="25" t="s">
        <v>384</v>
      </c>
      <c r="D282">
        <v>3</v>
      </c>
      <c r="E282" s="48" t="s">
        <v>146</v>
      </c>
      <c r="F282" s="26" t="s">
        <v>382</v>
      </c>
      <c r="G282">
        <v>7.7949999999999999</v>
      </c>
      <c r="H282">
        <v>0</v>
      </c>
      <c r="I282">
        <v>0.53400000000000003</v>
      </c>
      <c r="J282" s="114">
        <v>22</v>
      </c>
      <c r="K282">
        <f t="shared" si="19"/>
        <v>22</v>
      </c>
    </row>
    <row r="283" spans="1:11" x14ac:dyDescent="0.25">
      <c r="A283" t="str">
        <f t="shared" si="20"/>
        <v>Æ3</v>
      </c>
      <c r="B283">
        <v>163</v>
      </c>
      <c r="C283" s="52" t="s">
        <v>202</v>
      </c>
      <c r="D283">
        <v>3</v>
      </c>
      <c r="E283" s="48" t="s">
        <v>54</v>
      </c>
      <c r="F283" s="53" t="s">
        <v>382</v>
      </c>
      <c r="G283">
        <v>0.215</v>
      </c>
      <c r="H283">
        <v>0</v>
      </c>
      <c r="I283">
        <v>0</v>
      </c>
      <c r="J283" s="114">
        <v>22</v>
      </c>
      <c r="K283">
        <f t="shared" si="19"/>
        <v>22</v>
      </c>
    </row>
    <row r="284" spans="1:11" x14ac:dyDescent="0.25">
      <c r="A284" t="str">
        <f t="shared" si="20"/>
        <v>Ø3</v>
      </c>
      <c r="B284">
        <v>154</v>
      </c>
      <c r="C284" s="24" t="s">
        <v>175</v>
      </c>
      <c r="D284">
        <v>3</v>
      </c>
      <c r="E284" s="48" t="s">
        <v>142</v>
      </c>
      <c r="F284" s="36" t="s">
        <v>382</v>
      </c>
      <c r="G284">
        <v>5.3970000000000002</v>
      </c>
      <c r="H284">
        <v>79.45</v>
      </c>
      <c r="I284">
        <v>862.27099999999996</v>
      </c>
      <c r="J284" s="114">
        <v>22</v>
      </c>
      <c r="K284">
        <f t="shared" si="19"/>
        <v>22</v>
      </c>
    </row>
    <row r="285" spans="1:11" x14ac:dyDescent="0.25">
      <c r="A285" t="str">
        <f t="shared" si="20"/>
        <v>Å3</v>
      </c>
      <c r="B285">
        <v>147</v>
      </c>
      <c r="C285" s="49" t="s">
        <v>145</v>
      </c>
      <c r="D285">
        <v>3</v>
      </c>
      <c r="E285" s="49" t="s">
        <v>142</v>
      </c>
      <c r="F285" s="50" t="s">
        <v>382</v>
      </c>
      <c r="G285">
        <v>43.115000000000002</v>
      </c>
      <c r="H285">
        <v>169.54499999999999</v>
      </c>
      <c r="I285">
        <v>353.21800000000002</v>
      </c>
      <c r="J285" s="114">
        <v>22</v>
      </c>
      <c r="K285">
        <v>12</v>
      </c>
    </row>
  </sheetData>
  <sortState xmlns:xlrd2="http://schemas.microsoft.com/office/spreadsheetml/2017/richdata2" ref="A2:K284">
    <sortCondition ref="J2:J284"/>
    <sortCondition ref="D2:D284"/>
    <sortCondition ref="C2:C284"/>
  </sortState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277"/>
  <sheetViews>
    <sheetView tabSelected="1" topLeftCell="A259" workbookViewId="0">
      <selection activeCell="C253" sqref="C253:C277"/>
    </sheetView>
  </sheetViews>
  <sheetFormatPr defaultRowHeight="15" x14ac:dyDescent="0.25"/>
  <cols>
    <col min="7" max="9" width="8.85546875"/>
  </cols>
  <sheetData>
    <row r="1" spans="1:9" x14ac:dyDescent="0.25">
      <c r="A1" t="s">
        <v>1</v>
      </c>
      <c r="B1" t="s">
        <v>366</v>
      </c>
      <c r="C1" t="s">
        <v>0</v>
      </c>
      <c r="D1" t="s">
        <v>2</v>
      </c>
      <c r="E1" t="s">
        <v>367</v>
      </c>
      <c r="F1" t="s">
        <v>399</v>
      </c>
      <c r="G1" t="s">
        <v>3</v>
      </c>
      <c r="H1" t="s">
        <v>1440</v>
      </c>
      <c r="I1" t="s">
        <v>1441</v>
      </c>
    </row>
    <row r="2" spans="1:9" x14ac:dyDescent="0.25">
      <c r="A2">
        <v>1</v>
      </c>
      <c r="B2" t="str">
        <f t="shared" ref="B2:B65" si="0">C2&amp;A2</f>
        <v>B1</v>
      </c>
      <c r="C2" s="6" t="s">
        <v>39</v>
      </c>
      <c r="D2" s="5" t="s">
        <v>418</v>
      </c>
      <c r="E2" s="5" t="s">
        <v>49</v>
      </c>
      <c r="F2" s="5"/>
      <c r="G2">
        <v>3</v>
      </c>
      <c r="H2">
        <v>11.2</v>
      </c>
      <c r="I2">
        <f>((7+7)/2)*50*100</f>
        <v>35000</v>
      </c>
    </row>
    <row r="3" spans="1:9" x14ac:dyDescent="0.25">
      <c r="A3">
        <v>1</v>
      </c>
      <c r="B3" t="str">
        <f t="shared" si="0"/>
        <v>F1</v>
      </c>
      <c r="C3" s="6" t="s">
        <v>49</v>
      </c>
      <c r="D3" s="5" t="s">
        <v>418</v>
      </c>
      <c r="E3" s="5" t="s">
        <v>49</v>
      </c>
      <c r="F3" s="5"/>
      <c r="G3">
        <v>3</v>
      </c>
      <c r="H3">
        <v>15.1</v>
      </c>
      <c r="I3">
        <f>50*1000</f>
        <v>50000</v>
      </c>
    </row>
    <row r="4" spans="1:9" x14ac:dyDescent="0.25">
      <c r="A4">
        <v>1</v>
      </c>
      <c r="B4" t="str">
        <f t="shared" si="0"/>
        <v>I1</v>
      </c>
      <c r="C4" s="6" t="s">
        <v>56</v>
      </c>
      <c r="D4" s="5" t="s">
        <v>418</v>
      </c>
      <c r="E4" s="5" t="s">
        <v>60</v>
      </c>
      <c r="F4" s="5"/>
      <c r="G4">
        <v>3</v>
      </c>
      <c r="H4">
        <v>9.6</v>
      </c>
      <c r="I4">
        <f>((5+8)/2)*50*100</f>
        <v>32500</v>
      </c>
    </row>
    <row r="5" spans="1:9" x14ac:dyDescent="0.25">
      <c r="A5">
        <v>1</v>
      </c>
      <c r="B5" t="str">
        <f t="shared" si="0"/>
        <v>N1</v>
      </c>
      <c r="C5" s="6" t="s">
        <v>62</v>
      </c>
      <c r="D5" s="5" t="s">
        <v>418</v>
      </c>
      <c r="E5" s="5" t="s">
        <v>60</v>
      </c>
      <c r="F5" s="5"/>
      <c r="G5">
        <v>3</v>
      </c>
      <c r="H5">
        <v>17.399999999999999</v>
      </c>
      <c r="I5">
        <f>((3+8)/2)*50*100</f>
        <v>27500</v>
      </c>
    </row>
    <row r="6" spans="1:9" x14ac:dyDescent="0.25">
      <c r="A6">
        <v>1</v>
      </c>
      <c r="B6" t="str">
        <f t="shared" si="0"/>
        <v>H1</v>
      </c>
      <c r="C6" s="1" t="s">
        <v>53</v>
      </c>
      <c r="D6" s="10" t="s">
        <v>421</v>
      </c>
      <c r="E6" s="10" t="s">
        <v>60</v>
      </c>
      <c r="F6" s="10"/>
      <c r="G6">
        <v>3</v>
      </c>
      <c r="H6">
        <v>7.5</v>
      </c>
    </row>
    <row r="7" spans="1:9" x14ac:dyDescent="0.25">
      <c r="A7">
        <v>1</v>
      </c>
      <c r="B7" t="str">
        <f t="shared" si="0"/>
        <v>L1</v>
      </c>
      <c r="C7" s="1" t="s">
        <v>58</v>
      </c>
      <c r="D7" s="10" t="s">
        <v>421</v>
      </c>
      <c r="E7" s="10" t="s">
        <v>49</v>
      </c>
      <c r="F7" s="10"/>
      <c r="G7">
        <v>3</v>
      </c>
      <c r="H7">
        <v>8.6999999999999993</v>
      </c>
    </row>
    <row r="8" spans="1:9" x14ac:dyDescent="0.25">
      <c r="A8">
        <v>1</v>
      </c>
      <c r="B8" t="str">
        <f t="shared" si="0"/>
        <v>C1</v>
      </c>
      <c r="C8" s="25" t="s">
        <v>43</v>
      </c>
      <c r="D8" s="26" t="s">
        <v>419</v>
      </c>
      <c r="E8" s="26" t="s">
        <v>49</v>
      </c>
      <c r="F8" s="26"/>
      <c r="G8">
        <v>3</v>
      </c>
      <c r="H8">
        <v>1.9</v>
      </c>
      <c r="I8">
        <f>((3+6)/2)*50*100</f>
        <v>22500</v>
      </c>
    </row>
    <row r="9" spans="1:9" x14ac:dyDescent="0.25">
      <c r="A9">
        <v>1</v>
      </c>
      <c r="B9" t="str">
        <f t="shared" si="0"/>
        <v>E1</v>
      </c>
      <c r="C9" s="25" t="s">
        <v>47</v>
      </c>
      <c r="D9" s="26" t="s">
        <v>419</v>
      </c>
      <c r="E9" s="26" t="s">
        <v>60</v>
      </c>
      <c r="F9" s="26"/>
      <c r="G9">
        <v>3</v>
      </c>
      <c r="H9">
        <v>2.7</v>
      </c>
      <c r="I9">
        <f>((1+2)/2)*50*10</f>
        <v>750</v>
      </c>
    </row>
    <row r="10" spans="1:9" x14ac:dyDescent="0.25">
      <c r="A10">
        <v>1</v>
      </c>
      <c r="B10" t="str">
        <f t="shared" si="0"/>
        <v>G1</v>
      </c>
      <c r="C10" s="25" t="s">
        <v>51</v>
      </c>
      <c r="D10" s="26" t="s">
        <v>419</v>
      </c>
      <c r="E10" s="26" t="s">
        <v>49</v>
      </c>
      <c r="F10" s="26"/>
      <c r="G10">
        <v>3</v>
      </c>
      <c r="H10">
        <v>2.4</v>
      </c>
      <c r="I10">
        <f>((19+23)/2)*50*10</f>
        <v>10500</v>
      </c>
    </row>
    <row r="11" spans="1:9" x14ac:dyDescent="0.25">
      <c r="A11">
        <v>1</v>
      </c>
      <c r="B11" t="str">
        <f t="shared" si="0"/>
        <v>O1</v>
      </c>
      <c r="C11" s="25" t="s">
        <v>64</v>
      </c>
      <c r="D11" s="26" t="s">
        <v>419</v>
      </c>
      <c r="E11" s="26" t="s">
        <v>60</v>
      </c>
      <c r="F11" s="26"/>
      <c r="G11">
        <v>3</v>
      </c>
      <c r="H11">
        <v>2.1</v>
      </c>
      <c r="I11">
        <f>((4/3)*50*100)</f>
        <v>6666.6666666666661</v>
      </c>
    </row>
    <row r="12" spans="1:9" x14ac:dyDescent="0.25">
      <c r="A12">
        <v>1</v>
      </c>
      <c r="B12" t="str">
        <f t="shared" si="0"/>
        <v>K1</v>
      </c>
      <c r="C12" s="2" t="s">
        <v>82</v>
      </c>
      <c r="D12" s="9" t="s">
        <v>420</v>
      </c>
      <c r="E12" s="9" t="s">
        <v>60</v>
      </c>
      <c r="F12" s="9"/>
      <c r="G12">
        <v>3</v>
      </c>
      <c r="H12">
        <v>3.1</v>
      </c>
    </row>
    <row r="13" spans="1:9" x14ac:dyDescent="0.25">
      <c r="A13">
        <v>1</v>
      </c>
      <c r="B13" t="str">
        <f t="shared" si="0"/>
        <v>S1</v>
      </c>
      <c r="C13" s="2" t="s">
        <v>70</v>
      </c>
      <c r="D13" s="9" t="s">
        <v>420</v>
      </c>
      <c r="E13" s="9" t="s">
        <v>49</v>
      </c>
      <c r="F13" s="9"/>
      <c r="G13">
        <v>3</v>
      </c>
      <c r="H13">
        <v>2</v>
      </c>
    </row>
    <row r="14" spans="1:9" x14ac:dyDescent="0.25">
      <c r="A14">
        <v>1</v>
      </c>
      <c r="B14" t="str">
        <f t="shared" si="0"/>
        <v>J1</v>
      </c>
      <c r="C14" s="24" t="s">
        <v>80</v>
      </c>
      <c r="D14" s="36" t="s">
        <v>417</v>
      </c>
      <c r="E14" s="36" t="s">
        <v>60</v>
      </c>
      <c r="F14" s="36"/>
      <c r="G14">
        <v>3</v>
      </c>
      <c r="H14">
        <v>3.2</v>
      </c>
      <c r="I14">
        <f>((4+4)/3)*50*10</f>
        <v>1333.333333333333</v>
      </c>
    </row>
    <row r="15" spans="1:9" x14ac:dyDescent="0.25">
      <c r="A15">
        <v>1</v>
      </c>
      <c r="B15" t="str">
        <f t="shared" si="0"/>
        <v>M1</v>
      </c>
      <c r="C15" s="24" t="s">
        <v>60</v>
      </c>
      <c r="D15" s="36" t="s">
        <v>417</v>
      </c>
      <c r="E15" s="36" t="s">
        <v>49</v>
      </c>
      <c r="F15" s="36"/>
      <c r="G15">
        <v>3</v>
      </c>
      <c r="H15">
        <v>2.8</v>
      </c>
      <c r="I15">
        <f>5*50*100</f>
        <v>25000</v>
      </c>
    </row>
    <row r="16" spans="1:9" x14ac:dyDescent="0.25">
      <c r="A16">
        <v>1</v>
      </c>
      <c r="B16" t="str">
        <f t="shared" si="0"/>
        <v>P1</v>
      </c>
      <c r="C16" s="24" t="s">
        <v>66</v>
      </c>
      <c r="D16" s="36" t="s">
        <v>417</v>
      </c>
      <c r="E16" s="36" t="s">
        <v>60</v>
      </c>
      <c r="F16" s="36"/>
      <c r="G16">
        <v>3</v>
      </c>
      <c r="H16">
        <v>4.8</v>
      </c>
      <c r="I16">
        <f>4*50*1000</f>
        <v>200000</v>
      </c>
    </row>
    <row r="17" spans="1:9" x14ac:dyDescent="0.25">
      <c r="A17">
        <v>1</v>
      </c>
      <c r="B17" t="str">
        <f t="shared" si="0"/>
        <v>R1</v>
      </c>
      <c r="C17" s="24" t="s">
        <v>68</v>
      </c>
      <c r="D17" s="36" t="s">
        <v>417</v>
      </c>
      <c r="E17" s="36" t="s">
        <v>49</v>
      </c>
      <c r="F17" s="36"/>
      <c r="G17">
        <v>3</v>
      </c>
      <c r="H17">
        <v>2.4</v>
      </c>
    </row>
    <row r="18" spans="1:9" x14ac:dyDescent="0.25">
      <c r="A18">
        <v>2</v>
      </c>
      <c r="B18" t="str">
        <f t="shared" si="0"/>
        <v>F2</v>
      </c>
      <c r="C18" s="6" t="s">
        <v>49</v>
      </c>
      <c r="D18" s="5" t="s">
        <v>418</v>
      </c>
      <c r="E18" s="82" t="s">
        <v>60</v>
      </c>
      <c r="F18" s="82">
        <v>1189</v>
      </c>
      <c r="G18" s="35">
        <v>3</v>
      </c>
      <c r="H18">
        <v>17.399999999999999</v>
      </c>
      <c r="I18">
        <f>(4+1+3)/3*50*1000</f>
        <v>133333.33333333331</v>
      </c>
    </row>
    <row r="19" spans="1:9" x14ac:dyDescent="0.25">
      <c r="A19">
        <v>2</v>
      </c>
      <c r="B19" t="str">
        <f t="shared" si="0"/>
        <v>H2</v>
      </c>
      <c r="C19" s="6" t="s">
        <v>53</v>
      </c>
      <c r="D19" s="5" t="s">
        <v>418</v>
      </c>
      <c r="E19" s="82" t="s">
        <v>60</v>
      </c>
      <c r="F19" s="82">
        <v>1243</v>
      </c>
      <c r="G19" s="35">
        <v>3</v>
      </c>
      <c r="H19">
        <v>28</v>
      </c>
      <c r="I19">
        <f>(3+4+2)/3*50*1000</f>
        <v>150000</v>
      </c>
    </row>
    <row r="20" spans="1:9" x14ac:dyDescent="0.25">
      <c r="A20">
        <v>2</v>
      </c>
      <c r="B20" t="str">
        <f t="shared" si="0"/>
        <v>N2</v>
      </c>
      <c r="C20" s="6" t="s">
        <v>62</v>
      </c>
      <c r="D20" s="5" t="s">
        <v>418</v>
      </c>
      <c r="E20" s="82" t="s">
        <v>60</v>
      </c>
      <c r="F20" s="82">
        <v>791</v>
      </c>
      <c r="G20" s="35">
        <v>3</v>
      </c>
      <c r="H20">
        <v>10.199999999999999</v>
      </c>
      <c r="I20">
        <f>(3+4+1)/3*50*1000</f>
        <v>133333.33333333331</v>
      </c>
    </row>
    <row r="21" spans="1:9" x14ac:dyDescent="0.25">
      <c r="A21">
        <v>2</v>
      </c>
      <c r="B21" t="str">
        <f t="shared" si="0"/>
        <v>Q2</v>
      </c>
      <c r="C21" s="6" t="s">
        <v>385</v>
      </c>
      <c r="D21" s="5" t="s">
        <v>418</v>
      </c>
      <c r="E21" s="82" t="s">
        <v>49</v>
      </c>
      <c r="F21" s="82">
        <v>793.5</v>
      </c>
      <c r="G21" s="35">
        <v>3</v>
      </c>
      <c r="H21">
        <v>8.3000000000000007</v>
      </c>
      <c r="I21">
        <f>(5+4+3)/3*50*100</f>
        <v>20000</v>
      </c>
    </row>
    <row r="22" spans="1:9" x14ac:dyDescent="0.25">
      <c r="A22">
        <v>2</v>
      </c>
      <c r="B22" t="str">
        <f t="shared" si="0"/>
        <v>R2</v>
      </c>
      <c r="C22" s="6" t="s">
        <v>68</v>
      </c>
      <c r="D22" s="5" t="s">
        <v>418</v>
      </c>
      <c r="E22" s="82" t="s">
        <v>49</v>
      </c>
      <c r="F22" s="82">
        <v>1303</v>
      </c>
      <c r="G22" s="35">
        <v>3</v>
      </c>
      <c r="H22">
        <v>9.5</v>
      </c>
      <c r="I22">
        <f>(2+3+9)/3*50*100</f>
        <v>23333.333333333336</v>
      </c>
    </row>
    <row r="23" spans="1:9" x14ac:dyDescent="0.25">
      <c r="A23">
        <v>2</v>
      </c>
      <c r="B23" t="str">
        <f t="shared" si="0"/>
        <v>Y2</v>
      </c>
      <c r="C23" s="6" t="s">
        <v>384</v>
      </c>
      <c r="D23" s="5" t="s">
        <v>418</v>
      </c>
      <c r="E23" s="82" t="s">
        <v>60</v>
      </c>
      <c r="F23" s="82">
        <v>1340.4</v>
      </c>
      <c r="G23" s="35">
        <v>3</v>
      </c>
      <c r="H23">
        <v>9.8000000000000007</v>
      </c>
      <c r="I23">
        <f>(5+1+6)/3*50*100</f>
        <v>20000</v>
      </c>
    </row>
    <row r="24" spans="1:9" x14ac:dyDescent="0.25">
      <c r="A24">
        <v>2</v>
      </c>
      <c r="B24" t="str">
        <f t="shared" si="0"/>
        <v>G2</v>
      </c>
      <c r="C24" s="1" t="s">
        <v>51</v>
      </c>
      <c r="D24" s="10" t="s">
        <v>421</v>
      </c>
      <c r="E24" s="86" t="s">
        <v>49</v>
      </c>
      <c r="F24" s="86">
        <v>1387</v>
      </c>
      <c r="G24" s="35">
        <v>3</v>
      </c>
      <c r="H24">
        <v>18</v>
      </c>
    </row>
    <row r="25" spans="1:9" x14ac:dyDescent="0.25">
      <c r="A25">
        <v>2</v>
      </c>
      <c r="B25" t="str">
        <f t="shared" si="0"/>
        <v>I2</v>
      </c>
      <c r="C25" s="1" t="s">
        <v>56</v>
      </c>
      <c r="D25" s="10" t="s">
        <v>421</v>
      </c>
      <c r="E25" s="86" t="s">
        <v>60</v>
      </c>
      <c r="F25" s="86">
        <v>1015.2</v>
      </c>
      <c r="G25" s="35">
        <v>3</v>
      </c>
      <c r="H25">
        <v>21</v>
      </c>
    </row>
    <row r="26" spans="1:9" x14ac:dyDescent="0.25">
      <c r="A26">
        <v>2</v>
      </c>
      <c r="B26" t="str">
        <f t="shared" si="0"/>
        <v>T2</v>
      </c>
      <c r="C26" s="1" t="s">
        <v>386</v>
      </c>
      <c r="D26" s="10" t="s">
        <v>421</v>
      </c>
      <c r="E26" s="86" t="s">
        <v>60</v>
      </c>
      <c r="F26" s="86">
        <v>1193</v>
      </c>
      <c r="G26" s="35">
        <v>3</v>
      </c>
      <c r="H26">
        <v>14.5</v>
      </c>
    </row>
    <row r="27" spans="1:9" x14ac:dyDescent="0.25">
      <c r="A27">
        <v>2</v>
      </c>
      <c r="B27" t="str">
        <f t="shared" si="0"/>
        <v>Å2</v>
      </c>
      <c r="C27" s="25" t="s">
        <v>145</v>
      </c>
      <c r="D27" s="26" t="s">
        <v>419</v>
      </c>
      <c r="E27" s="84" t="s">
        <v>60</v>
      </c>
      <c r="F27" s="84">
        <v>902</v>
      </c>
      <c r="G27" s="35">
        <v>3</v>
      </c>
      <c r="H27">
        <v>1.8</v>
      </c>
      <c r="I27">
        <f>(3+1+3)/3*50*10</f>
        <v>1166.6666666666667</v>
      </c>
    </row>
    <row r="28" spans="1:9" x14ac:dyDescent="0.25">
      <c r="A28">
        <v>2</v>
      </c>
      <c r="B28" t="str">
        <f t="shared" si="0"/>
        <v>D2</v>
      </c>
      <c r="C28" s="25" t="s">
        <v>45</v>
      </c>
      <c r="D28" s="26" t="s">
        <v>419</v>
      </c>
      <c r="E28" s="84" t="s">
        <v>49</v>
      </c>
      <c r="F28" s="84">
        <v>1041</v>
      </c>
      <c r="G28" s="35">
        <v>3</v>
      </c>
      <c r="H28">
        <v>3</v>
      </c>
      <c r="I28">
        <f>(2+5+3)/3*50*10</f>
        <v>1666.666666666667</v>
      </c>
    </row>
    <row r="29" spans="1:9" x14ac:dyDescent="0.25">
      <c r="A29">
        <v>2</v>
      </c>
      <c r="B29" t="str">
        <f t="shared" si="0"/>
        <v>E2</v>
      </c>
      <c r="C29" s="25" t="s">
        <v>47</v>
      </c>
      <c r="D29" s="26" t="s">
        <v>419</v>
      </c>
      <c r="E29" s="84" t="s">
        <v>49</v>
      </c>
      <c r="F29" s="84">
        <v>1260.5999999999999</v>
      </c>
      <c r="G29" s="35">
        <v>3</v>
      </c>
      <c r="H29">
        <v>2.2000000000000002</v>
      </c>
    </row>
    <row r="30" spans="1:9" x14ac:dyDescent="0.25">
      <c r="A30">
        <v>2</v>
      </c>
      <c r="B30" t="str">
        <f t="shared" si="0"/>
        <v>K2</v>
      </c>
      <c r="C30" s="25" t="s">
        <v>82</v>
      </c>
      <c r="D30" s="26" t="s">
        <v>419</v>
      </c>
      <c r="E30" s="84" t="s">
        <v>60</v>
      </c>
      <c r="F30" s="84">
        <v>1405</v>
      </c>
      <c r="G30" s="35">
        <v>3</v>
      </c>
      <c r="H30">
        <v>2.4</v>
      </c>
      <c r="I30">
        <f>(3+6+3)/3*50*10</f>
        <v>2000</v>
      </c>
    </row>
    <row r="31" spans="1:9" x14ac:dyDescent="0.25">
      <c r="A31">
        <v>2</v>
      </c>
      <c r="B31" t="str">
        <f t="shared" si="0"/>
        <v>U2</v>
      </c>
      <c r="C31" s="25" t="s">
        <v>388</v>
      </c>
      <c r="D31" s="26" t="s">
        <v>419</v>
      </c>
      <c r="E31" s="84" t="s">
        <v>60</v>
      </c>
      <c r="F31" s="84">
        <v>741.5</v>
      </c>
      <c r="G31" s="35">
        <v>3</v>
      </c>
      <c r="H31">
        <v>1.9</v>
      </c>
      <c r="I31">
        <f>(1+2+2)/3*50*100</f>
        <v>8333.3333333333339</v>
      </c>
    </row>
    <row r="32" spans="1:9" x14ac:dyDescent="0.25">
      <c r="A32">
        <v>2</v>
      </c>
      <c r="B32" t="str">
        <f t="shared" si="0"/>
        <v>V2</v>
      </c>
      <c r="C32" s="25" t="s">
        <v>389</v>
      </c>
      <c r="D32" s="26" t="s">
        <v>419</v>
      </c>
      <c r="E32" s="84" t="s">
        <v>60</v>
      </c>
      <c r="F32" s="84">
        <v>1281</v>
      </c>
      <c r="G32" s="35">
        <v>3</v>
      </c>
      <c r="H32">
        <v>4.3</v>
      </c>
      <c r="I32">
        <f>(3+1+1)/3*50*10</f>
        <v>833.33333333333348</v>
      </c>
    </row>
    <row r="33" spans="1:9" x14ac:dyDescent="0.25">
      <c r="A33">
        <v>2</v>
      </c>
      <c r="B33" t="str">
        <f t="shared" si="0"/>
        <v>X2</v>
      </c>
      <c r="C33" s="25" t="s">
        <v>390</v>
      </c>
      <c r="D33" s="26" t="s">
        <v>419</v>
      </c>
      <c r="E33" s="84" t="s">
        <v>60</v>
      </c>
      <c r="F33" s="84">
        <v>1111</v>
      </c>
      <c r="G33" s="35">
        <v>3</v>
      </c>
      <c r="H33">
        <v>3.3</v>
      </c>
      <c r="I33">
        <f>(2+1+2)/3*50*10</f>
        <v>833.33333333333348</v>
      </c>
    </row>
    <row r="34" spans="1:9" x14ac:dyDescent="0.25">
      <c r="A34">
        <v>2</v>
      </c>
      <c r="B34" t="str">
        <f t="shared" si="0"/>
        <v>L2</v>
      </c>
      <c r="C34" s="2" t="s">
        <v>58</v>
      </c>
      <c r="D34" s="9" t="s">
        <v>420</v>
      </c>
      <c r="E34" s="80" t="s">
        <v>60</v>
      </c>
      <c r="F34" s="80">
        <v>1202.8</v>
      </c>
      <c r="G34" s="35">
        <v>3</v>
      </c>
      <c r="H34">
        <v>2.6</v>
      </c>
    </row>
    <row r="35" spans="1:9" x14ac:dyDescent="0.25">
      <c r="A35">
        <v>2</v>
      </c>
      <c r="B35" t="str">
        <f t="shared" si="0"/>
        <v>O2</v>
      </c>
      <c r="C35" s="2" t="s">
        <v>64</v>
      </c>
      <c r="D35" s="9" t="s">
        <v>420</v>
      </c>
      <c r="E35" s="80" t="s">
        <v>60</v>
      </c>
      <c r="F35" s="80">
        <v>1031</v>
      </c>
      <c r="G35" s="35">
        <v>3</v>
      </c>
      <c r="H35">
        <v>2.2999999999999998</v>
      </c>
    </row>
    <row r="36" spans="1:9" x14ac:dyDescent="0.25">
      <c r="A36">
        <v>2</v>
      </c>
      <c r="B36" t="str">
        <f t="shared" si="0"/>
        <v>Ø2</v>
      </c>
      <c r="C36" s="2" t="s">
        <v>175</v>
      </c>
      <c r="D36" s="9" t="s">
        <v>420</v>
      </c>
      <c r="E36" s="80" t="s">
        <v>49</v>
      </c>
      <c r="F36" s="80">
        <v>1275</v>
      </c>
      <c r="G36" s="35">
        <v>3</v>
      </c>
      <c r="H36">
        <v>2.7</v>
      </c>
    </row>
    <row r="37" spans="1:9" x14ac:dyDescent="0.25">
      <c r="A37">
        <v>2</v>
      </c>
      <c r="B37" t="str">
        <f t="shared" si="0"/>
        <v>A2</v>
      </c>
      <c r="C37" s="24" t="s">
        <v>36</v>
      </c>
      <c r="D37" s="36" t="s">
        <v>417</v>
      </c>
      <c r="E37" s="83" t="s">
        <v>60</v>
      </c>
      <c r="F37" s="83">
        <v>1210</v>
      </c>
      <c r="G37" s="35">
        <v>3</v>
      </c>
      <c r="H37">
        <v>1.9</v>
      </c>
      <c r="I37">
        <f>(2+3)/2*50*100</f>
        <v>12500</v>
      </c>
    </row>
    <row r="38" spans="1:9" x14ac:dyDescent="0.25">
      <c r="A38">
        <v>2</v>
      </c>
      <c r="B38" t="str">
        <f t="shared" si="0"/>
        <v>Æ2</v>
      </c>
      <c r="C38" s="24" t="s">
        <v>202</v>
      </c>
      <c r="D38" s="36" t="s">
        <v>417</v>
      </c>
      <c r="E38" s="83" t="s">
        <v>60</v>
      </c>
      <c r="F38" s="83">
        <v>1180.8</v>
      </c>
      <c r="G38" s="35">
        <v>3</v>
      </c>
      <c r="H38">
        <v>2.2000000000000002</v>
      </c>
      <c r="I38">
        <f>(3+4+6)/3*50*100</f>
        <v>21666.666666666664</v>
      </c>
    </row>
    <row r="39" spans="1:9" x14ac:dyDescent="0.25">
      <c r="A39">
        <v>2</v>
      </c>
      <c r="B39" t="str">
        <f t="shared" si="0"/>
        <v>B2</v>
      </c>
      <c r="C39" s="24" t="s">
        <v>39</v>
      </c>
      <c r="D39" s="36" t="s">
        <v>417</v>
      </c>
      <c r="E39" s="83" t="s">
        <v>49</v>
      </c>
      <c r="F39" s="83">
        <v>1015</v>
      </c>
      <c r="G39" s="35">
        <v>3</v>
      </c>
      <c r="H39">
        <v>2.1</v>
      </c>
      <c r="I39">
        <f>2*50*10</f>
        <v>1000</v>
      </c>
    </row>
    <row r="40" spans="1:9" x14ac:dyDescent="0.25">
      <c r="A40">
        <v>2</v>
      </c>
      <c r="B40" t="str">
        <f t="shared" si="0"/>
        <v>C2</v>
      </c>
      <c r="C40" s="24" t="s">
        <v>43</v>
      </c>
      <c r="D40" s="36" t="s">
        <v>417</v>
      </c>
      <c r="E40" s="83" t="s">
        <v>49</v>
      </c>
      <c r="F40" s="83">
        <v>1210</v>
      </c>
      <c r="G40" s="35">
        <v>3</v>
      </c>
      <c r="H40">
        <v>1.8</v>
      </c>
      <c r="I40">
        <f>(3+3+1)/3*50*10</f>
        <v>1166.6666666666667</v>
      </c>
    </row>
    <row r="41" spans="1:9" x14ac:dyDescent="0.25">
      <c r="A41">
        <v>2</v>
      </c>
      <c r="B41" t="str">
        <f t="shared" si="0"/>
        <v>J2</v>
      </c>
      <c r="C41" s="24" t="s">
        <v>80</v>
      </c>
      <c r="D41" s="36" t="s">
        <v>417</v>
      </c>
      <c r="E41" s="83" t="s">
        <v>49</v>
      </c>
      <c r="F41" s="83">
        <v>678</v>
      </c>
      <c r="G41" s="35">
        <v>3</v>
      </c>
      <c r="H41">
        <v>1.9</v>
      </c>
      <c r="I41">
        <f>(4+2+2)/3*50*100</f>
        <v>13333.333333333332</v>
      </c>
    </row>
    <row r="42" spans="1:9" x14ac:dyDescent="0.25">
      <c r="A42">
        <v>2</v>
      </c>
      <c r="B42" t="str">
        <f t="shared" si="0"/>
        <v>M2</v>
      </c>
      <c r="C42" s="24" t="s">
        <v>60</v>
      </c>
      <c r="D42" s="36" t="s">
        <v>417</v>
      </c>
      <c r="E42" s="83" t="s">
        <v>60</v>
      </c>
      <c r="F42" s="83">
        <v>1261</v>
      </c>
      <c r="G42" s="35">
        <v>3</v>
      </c>
      <c r="H42">
        <v>2.7</v>
      </c>
      <c r="I42">
        <f>(1+3+5)/3*50*10</f>
        <v>1500</v>
      </c>
    </row>
    <row r="43" spans="1:9" x14ac:dyDescent="0.25">
      <c r="A43">
        <v>2</v>
      </c>
      <c r="B43" t="str">
        <f t="shared" si="0"/>
        <v>P2</v>
      </c>
      <c r="C43" s="24" t="s">
        <v>66</v>
      </c>
      <c r="D43" s="36" t="s">
        <v>417</v>
      </c>
      <c r="E43" s="83" t="s">
        <v>49</v>
      </c>
      <c r="F43" s="83">
        <v>1098.7</v>
      </c>
      <c r="G43" s="35">
        <v>3</v>
      </c>
      <c r="H43">
        <v>2.5</v>
      </c>
      <c r="I43">
        <f>(1+1+2)/3*50*10</f>
        <v>666.66666666666652</v>
      </c>
    </row>
    <row r="44" spans="1:9" x14ac:dyDescent="0.25">
      <c r="A44">
        <v>2</v>
      </c>
      <c r="B44" t="str">
        <f t="shared" si="0"/>
        <v>S2</v>
      </c>
      <c r="C44" s="24" t="s">
        <v>70</v>
      </c>
      <c r="D44" s="36" t="s">
        <v>417</v>
      </c>
      <c r="E44" s="83" t="s">
        <v>60</v>
      </c>
      <c r="F44" s="83">
        <v>1327</v>
      </c>
      <c r="G44" s="35">
        <v>3</v>
      </c>
      <c r="H44">
        <v>2.5</v>
      </c>
      <c r="I44">
        <f>(15+15+11)/3*50*100</f>
        <v>68333.333333333328</v>
      </c>
    </row>
    <row r="45" spans="1:9" x14ac:dyDescent="0.25">
      <c r="A45">
        <v>2</v>
      </c>
      <c r="B45" t="str">
        <f t="shared" si="0"/>
        <v>Z2</v>
      </c>
      <c r="C45" s="24" t="s">
        <v>387</v>
      </c>
      <c r="D45" s="36" t="s">
        <v>417</v>
      </c>
      <c r="E45" s="83" t="s">
        <v>49</v>
      </c>
      <c r="F45" s="83">
        <v>1270</v>
      </c>
      <c r="G45" s="35">
        <v>3</v>
      </c>
      <c r="H45">
        <v>5.8</v>
      </c>
      <c r="I45">
        <f>(10+14+11)/3*50*100</f>
        <v>58333.333333333328</v>
      </c>
    </row>
    <row r="46" spans="1:9" x14ac:dyDescent="0.25">
      <c r="A46">
        <v>3</v>
      </c>
      <c r="B46" t="str">
        <f t="shared" si="0"/>
        <v>A3</v>
      </c>
      <c r="C46" s="35" t="s">
        <v>36</v>
      </c>
      <c r="D46" s="5" t="s">
        <v>418</v>
      </c>
      <c r="E46" s="5" t="s">
        <v>49</v>
      </c>
      <c r="F46" s="5">
        <v>725</v>
      </c>
      <c r="G46" s="35">
        <v>3</v>
      </c>
      <c r="H46">
        <v>20.100000000000001</v>
      </c>
      <c r="I46">
        <f>(10+7+16)/3*50*100</f>
        <v>55000</v>
      </c>
    </row>
    <row r="47" spans="1:9" x14ac:dyDescent="0.25">
      <c r="A47">
        <v>3</v>
      </c>
      <c r="B47" t="str">
        <f t="shared" si="0"/>
        <v>B3</v>
      </c>
      <c r="C47" s="35" t="s">
        <v>39</v>
      </c>
      <c r="D47" s="5" t="s">
        <v>418</v>
      </c>
      <c r="E47" s="5" t="s">
        <v>49</v>
      </c>
      <c r="F47" s="5">
        <v>794</v>
      </c>
      <c r="G47" s="35">
        <v>3</v>
      </c>
      <c r="H47">
        <v>15.3</v>
      </c>
      <c r="I47">
        <f>(7+7+9)/3*50*100</f>
        <v>38333.333333333336</v>
      </c>
    </row>
    <row r="48" spans="1:9" x14ac:dyDescent="0.25">
      <c r="A48">
        <v>3</v>
      </c>
      <c r="B48" t="str">
        <f t="shared" si="0"/>
        <v>D3</v>
      </c>
      <c r="C48" s="35" t="s">
        <v>45</v>
      </c>
      <c r="D48" s="5" t="s">
        <v>418</v>
      </c>
      <c r="E48" s="5" t="s">
        <v>60</v>
      </c>
      <c r="F48" s="5">
        <v>949.7</v>
      </c>
      <c r="G48" s="35">
        <v>3</v>
      </c>
      <c r="H48">
        <v>21.8</v>
      </c>
      <c r="I48">
        <f>(7+9+14)/3*50*100</f>
        <v>50000</v>
      </c>
    </row>
    <row r="49" spans="1:9" x14ac:dyDescent="0.25">
      <c r="A49">
        <v>3</v>
      </c>
      <c r="B49" t="str">
        <f t="shared" si="0"/>
        <v>GAMMA3</v>
      </c>
      <c r="C49" s="35" t="s">
        <v>585</v>
      </c>
      <c r="D49" s="5" t="s">
        <v>418</v>
      </c>
      <c r="E49" s="5" t="s">
        <v>60</v>
      </c>
      <c r="F49" s="5">
        <v>1159</v>
      </c>
      <c r="G49" s="35">
        <v>3</v>
      </c>
      <c r="H49">
        <v>11.2</v>
      </c>
      <c r="I49">
        <f>(2+2+4)/3*50*1000</f>
        <v>133333.33333333331</v>
      </c>
    </row>
    <row r="50" spans="1:9" x14ac:dyDescent="0.25">
      <c r="A50">
        <v>3</v>
      </c>
      <c r="B50" t="str">
        <f t="shared" si="0"/>
        <v>H3</v>
      </c>
      <c r="C50" s="35" t="s">
        <v>53</v>
      </c>
      <c r="D50" s="5" t="s">
        <v>418</v>
      </c>
      <c r="E50" s="5" t="s">
        <v>49</v>
      </c>
      <c r="F50" s="5">
        <v>1104</v>
      </c>
      <c r="G50" s="35">
        <v>3</v>
      </c>
      <c r="H50">
        <v>20.399999999999999</v>
      </c>
      <c r="I50">
        <f>(4+3+3)/3*50*1000</f>
        <v>166666.66666666669</v>
      </c>
    </row>
    <row r="51" spans="1:9" x14ac:dyDescent="0.25">
      <c r="A51">
        <v>3</v>
      </c>
      <c r="B51" t="str">
        <f t="shared" si="0"/>
        <v>J3</v>
      </c>
      <c r="C51" s="35" t="s">
        <v>80</v>
      </c>
      <c r="D51" s="5" t="s">
        <v>418</v>
      </c>
      <c r="E51" s="5" t="s">
        <v>60</v>
      </c>
      <c r="F51" s="5">
        <v>885</v>
      </c>
      <c r="G51" s="35">
        <v>3</v>
      </c>
      <c r="H51">
        <v>14.8</v>
      </c>
      <c r="I51">
        <f>(4+1+2)/3*50*1000</f>
        <v>116666.66666666667</v>
      </c>
    </row>
    <row r="52" spans="1:9" x14ac:dyDescent="0.25">
      <c r="A52">
        <v>3</v>
      </c>
      <c r="B52" t="str">
        <f t="shared" si="0"/>
        <v>Æ3</v>
      </c>
      <c r="C52" s="35" t="s">
        <v>202</v>
      </c>
      <c r="D52" s="10" t="s">
        <v>421</v>
      </c>
      <c r="E52" s="53" t="s">
        <v>49</v>
      </c>
      <c r="F52" s="53">
        <v>908</v>
      </c>
      <c r="G52" s="35">
        <v>3</v>
      </c>
      <c r="H52">
        <v>16</v>
      </c>
    </row>
    <row r="53" spans="1:9" x14ac:dyDescent="0.25">
      <c r="A53">
        <v>3</v>
      </c>
      <c r="B53" t="str">
        <f t="shared" si="0"/>
        <v>K3</v>
      </c>
      <c r="C53" s="35" t="s">
        <v>82</v>
      </c>
      <c r="D53" s="10" t="s">
        <v>421</v>
      </c>
      <c r="E53" s="53" t="s">
        <v>49</v>
      </c>
      <c r="F53" s="53">
        <v>984</v>
      </c>
      <c r="G53" s="35">
        <v>3</v>
      </c>
      <c r="H53">
        <v>18.3</v>
      </c>
    </row>
    <row r="54" spans="1:9" x14ac:dyDescent="0.25">
      <c r="A54">
        <v>3</v>
      </c>
      <c r="B54" t="str">
        <f t="shared" si="0"/>
        <v>Q3</v>
      </c>
      <c r="C54" s="35" t="s">
        <v>385</v>
      </c>
      <c r="D54" s="10" t="s">
        <v>421</v>
      </c>
      <c r="E54" s="53" t="s">
        <v>60</v>
      </c>
      <c r="F54" s="53">
        <v>676</v>
      </c>
      <c r="G54" s="35">
        <v>3</v>
      </c>
      <c r="H54">
        <v>18.2</v>
      </c>
    </row>
    <row r="55" spans="1:9" x14ac:dyDescent="0.25">
      <c r="A55">
        <v>3</v>
      </c>
      <c r="B55" t="str">
        <f t="shared" si="0"/>
        <v>N3</v>
      </c>
      <c r="C55" s="35" t="s">
        <v>62</v>
      </c>
      <c r="D55" s="26" t="s">
        <v>419</v>
      </c>
      <c r="E55" s="26" t="s">
        <v>60</v>
      </c>
      <c r="F55" s="26">
        <v>1219</v>
      </c>
      <c r="G55" s="35">
        <v>3</v>
      </c>
      <c r="H55">
        <v>2.9</v>
      </c>
      <c r="I55">
        <f>(5+4+8)/3*50*10</f>
        <v>2833.3333333333339</v>
      </c>
    </row>
    <row r="56" spans="1:9" x14ac:dyDescent="0.25">
      <c r="A56">
        <v>3</v>
      </c>
      <c r="B56" t="str">
        <f t="shared" si="0"/>
        <v>O3</v>
      </c>
      <c r="C56" s="35" t="s">
        <v>64</v>
      </c>
      <c r="D56" s="26" t="s">
        <v>419</v>
      </c>
      <c r="E56" s="26" t="s">
        <v>49</v>
      </c>
      <c r="F56" s="26">
        <v>849</v>
      </c>
      <c r="G56" s="35">
        <v>3</v>
      </c>
      <c r="H56">
        <v>2.5</v>
      </c>
    </row>
    <row r="57" spans="1:9" x14ac:dyDescent="0.25">
      <c r="A57">
        <v>3</v>
      </c>
      <c r="B57" t="str">
        <f t="shared" si="0"/>
        <v>T3</v>
      </c>
      <c r="C57" s="35" t="s">
        <v>386</v>
      </c>
      <c r="D57" s="26" t="s">
        <v>419</v>
      </c>
      <c r="E57" s="26" t="s">
        <v>60</v>
      </c>
      <c r="F57" s="26">
        <v>1017</v>
      </c>
      <c r="G57" s="35">
        <v>3</v>
      </c>
      <c r="H57">
        <v>2.8</v>
      </c>
      <c r="I57">
        <f>(4+5+2)/3*50*1000</f>
        <v>183333.33333333331</v>
      </c>
    </row>
    <row r="58" spans="1:9" x14ac:dyDescent="0.25">
      <c r="A58">
        <v>3</v>
      </c>
      <c r="B58" t="str">
        <f t="shared" si="0"/>
        <v>U3</v>
      </c>
      <c r="C58" s="35" t="s">
        <v>388</v>
      </c>
      <c r="D58" s="26" t="s">
        <v>419</v>
      </c>
      <c r="E58" s="26" t="s">
        <v>49</v>
      </c>
      <c r="F58" s="26">
        <v>909</v>
      </c>
      <c r="G58" s="35">
        <v>3</v>
      </c>
      <c r="H58">
        <v>2.7</v>
      </c>
      <c r="I58">
        <f>(11+5+8)/3*50*1000</f>
        <v>400000</v>
      </c>
    </row>
    <row r="59" spans="1:9" x14ac:dyDescent="0.25">
      <c r="A59">
        <v>3</v>
      </c>
      <c r="B59" t="str">
        <f t="shared" si="0"/>
        <v>V3</v>
      </c>
      <c r="C59" s="35" t="s">
        <v>389</v>
      </c>
      <c r="D59" s="26" t="s">
        <v>419</v>
      </c>
      <c r="E59" s="26" t="s">
        <v>49</v>
      </c>
      <c r="F59" s="26">
        <v>795</v>
      </c>
      <c r="G59" s="35">
        <v>3</v>
      </c>
      <c r="H59">
        <v>2.2000000000000002</v>
      </c>
      <c r="I59">
        <f>(3+2+3)/3*50*100</f>
        <v>13333.333333333332</v>
      </c>
    </row>
    <row r="60" spans="1:9" x14ac:dyDescent="0.25">
      <c r="A60">
        <v>3</v>
      </c>
      <c r="B60" t="str">
        <f t="shared" si="0"/>
        <v>Y3</v>
      </c>
      <c r="C60" s="35" t="s">
        <v>384</v>
      </c>
      <c r="D60" s="26" t="s">
        <v>419</v>
      </c>
      <c r="E60" s="26" t="s">
        <v>49</v>
      </c>
      <c r="F60" s="26">
        <v>702</v>
      </c>
      <c r="G60" s="35">
        <v>3</v>
      </c>
      <c r="H60">
        <v>2.1</v>
      </c>
      <c r="I60">
        <f>(3+4+2)/3*50*10</f>
        <v>1500</v>
      </c>
    </row>
    <row r="61" spans="1:9" x14ac:dyDescent="0.25">
      <c r="A61">
        <v>3</v>
      </c>
      <c r="B61" t="str">
        <f t="shared" si="0"/>
        <v>G3</v>
      </c>
      <c r="C61" s="35" t="s">
        <v>51</v>
      </c>
      <c r="D61" s="51" t="s">
        <v>420</v>
      </c>
      <c r="E61" s="51" t="s">
        <v>49</v>
      </c>
      <c r="F61" s="51">
        <v>993</v>
      </c>
      <c r="G61" s="35">
        <v>3</v>
      </c>
      <c r="H61">
        <v>2.8</v>
      </c>
    </row>
    <row r="62" spans="1:9" x14ac:dyDescent="0.25">
      <c r="A62">
        <v>3</v>
      </c>
      <c r="B62" t="str">
        <f t="shared" si="0"/>
        <v>P3</v>
      </c>
      <c r="C62" s="35" t="s">
        <v>66</v>
      </c>
      <c r="D62" s="51" t="s">
        <v>420</v>
      </c>
      <c r="E62" s="51" t="s">
        <v>60</v>
      </c>
      <c r="F62" s="51">
        <v>1279</v>
      </c>
      <c r="G62" s="35">
        <v>3</v>
      </c>
      <c r="H62">
        <v>4.3</v>
      </c>
    </row>
    <row r="63" spans="1:9" x14ac:dyDescent="0.25">
      <c r="A63">
        <v>3</v>
      </c>
      <c r="B63" t="str">
        <f t="shared" si="0"/>
        <v>R3</v>
      </c>
      <c r="C63" s="35" t="s">
        <v>68</v>
      </c>
      <c r="D63" s="51" t="s">
        <v>420</v>
      </c>
      <c r="E63" s="51" t="s">
        <v>60</v>
      </c>
      <c r="F63" s="51">
        <v>637</v>
      </c>
      <c r="G63" s="35">
        <v>3</v>
      </c>
      <c r="H63">
        <v>2.2000000000000002</v>
      </c>
    </row>
    <row r="64" spans="1:9" x14ac:dyDescent="0.25">
      <c r="A64">
        <v>3</v>
      </c>
      <c r="B64" t="str">
        <f t="shared" si="0"/>
        <v>X3</v>
      </c>
      <c r="C64" s="35" t="s">
        <v>390</v>
      </c>
      <c r="D64" s="51" t="s">
        <v>420</v>
      </c>
      <c r="E64" s="51" t="s">
        <v>49</v>
      </c>
      <c r="F64" s="51">
        <v>828</v>
      </c>
      <c r="G64" s="35">
        <v>3</v>
      </c>
      <c r="H64">
        <v>3.8</v>
      </c>
    </row>
    <row r="65" spans="1:9" x14ac:dyDescent="0.25">
      <c r="A65">
        <v>3</v>
      </c>
      <c r="B65" t="str">
        <f t="shared" si="0"/>
        <v>Å3</v>
      </c>
      <c r="C65" s="35" t="s">
        <v>145</v>
      </c>
      <c r="D65" s="36" t="s">
        <v>417</v>
      </c>
      <c r="E65" s="36" t="s">
        <v>49</v>
      </c>
      <c r="F65" s="36">
        <v>970</v>
      </c>
      <c r="G65" s="35">
        <v>3</v>
      </c>
      <c r="H65">
        <v>4.2</v>
      </c>
      <c r="I65">
        <f>(4+1+4)/3*50*1000</f>
        <v>150000</v>
      </c>
    </row>
    <row r="66" spans="1:9" x14ac:dyDescent="0.25">
      <c r="A66">
        <v>3</v>
      </c>
      <c r="B66" t="str">
        <f t="shared" ref="B66:B129" si="1">C66&amp;A66</f>
        <v>ALPHA3</v>
      </c>
      <c r="C66" s="78" t="s">
        <v>586</v>
      </c>
      <c r="D66" s="36" t="s">
        <v>417</v>
      </c>
      <c r="E66" s="93" t="s">
        <v>60</v>
      </c>
      <c r="F66" s="100">
        <v>847</v>
      </c>
      <c r="G66" s="35">
        <v>3</v>
      </c>
      <c r="H66">
        <v>3.4</v>
      </c>
      <c r="I66">
        <f>(50*1000)</f>
        <v>50000</v>
      </c>
    </row>
    <row r="67" spans="1:9" x14ac:dyDescent="0.25">
      <c r="A67">
        <v>3</v>
      </c>
      <c r="B67" t="str">
        <f t="shared" si="1"/>
        <v>BETA3</v>
      </c>
      <c r="C67" s="78" t="s">
        <v>584</v>
      </c>
      <c r="D67" s="36" t="s">
        <v>417</v>
      </c>
      <c r="E67" s="81" t="s">
        <v>60</v>
      </c>
      <c r="F67" s="59">
        <v>777</v>
      </c>
      <c r="G67" s="35">
        <v>3</v>
      </c>
      <c r="H67">
        <v>1.7</v>
      </c>
      <c r="I67">
        <f>(2+1+3)/3*50*100</f>
        <v>10000</v>
      </c>
    </row>
    <row r="68" spans="1:9" x14ac:dyDescent="0.25">
      <c r="A68">
        <v>3</v>
      </c>
      <c r="B68" t="str">
        <f t="shared" si="1"/>
        <v>I3</v>
      </c>
      <c r="C68" s="78" t="s">
        <v>56</v>
      </c>
      <c r="D68" s="36" t="s">
        <v>417</v>
      </c>
      <c r="E68" s="81" t="s">
        <v>49</v>
      </c>
      <c r="F68" s="59">
        <v>996</v>
      </c>
      <c r="G68" s="35">
        <v>3</v>
      </c>
      <c r="H68">
        <v>3.1</v>
      </c>
      <c r="I68">
        <f>(2+2+1)/3*50*10</f>
        <v>833.33333333333348</v>
      </c>
    </row>
    <row r="69" spans="1:9" x14ac:dyDescent="0.25">
      <c r="A69">
        <v>3</v>
      </c>
      <c r="B69" t="str">
        <f t="shared" si="1"/>
        <v>L3</v>
      </c>
      <c r="C69" s="78" t="s">
        <v>58</v>
      </c>
      <c r="D69" s="36" t="s">
        <v>417</v>
      </c>
      <c r="E69" s="81" t="s">
        <v>60</v>
      </c>
      <c r="F69" s="59">
        <v>1175</v>
      </c>
      <c r="G69" s="35">
        <v>3</v>
      </c>
      <c r="H69">
        <v>2.9</v>
      </c>
      <c r="I69">
        <f>(2+4+4)/3*50*1000</f>
        <v>166666.66666666669</v>
      </c>
    </row>
    <row r="70" spans="1:9" x14ac:dyDescent="0.25">
      <c r="A70">
        <v>3</v>
      </c>
      <c r="B70" t="str">
        <f t="shared" si="1"/>
        <v>Ø3</v>
      </c>
      <c r="C70" s="78" t="s">
        <v>175</v>
      </c>
      <c r="D70" s="36" t="s">
        <v>417</v>
      </c>
      <c r="E70" s="81" t="s">
        <v>49</v>
      </c>
      <c r="F70" s="59">
        <v>826</v>
      </c>
      <c r="G70" s="35">
        <v>3</v>
      </c>
      <c r="H70">
        <v>2.1</v>
      </c>
      <c r="I70">
        <f>(14+20+21)/3*50*100</f>
        <v>91666.666666666657</v>
      </c>
    </row>
    <row r="71" spans="1:9" x14ac:dyDescent="0.25">
      <c r="A71">
        <v>1</v>
      </c>
      <c r="B71" t="str">
        <f t="shared" si="1"/>
        <v>B1</v>
      </c>
      <c r="C71" s="18" t="s">
        <v>39</v>
      </c>
      <c r="D71" s="5" t="s">
        <v>418</v>
      </c>
      <c r="E71" s="57" t="s">
        <v>49</v>
      </c>
      <c r="F71" s="60"/>
      <c r="G71">
        <v>6</v>
      </c>
      <c r="H71">
        <v>9.3000000000000007</v>
      </c>
      <c r="I71">
        <f>4*50*100</f>
        <v>20000</v>
      </c>
    </row>
    <row r="72" spans="1:9" x14ac:dyDescent="0.25">
      <c r="A72">
        <v>1</v>
      </c>
      <c r="B72" t="str">
        <f t="shared" si="1"/>
        <v>F1</v>
      </c>
      <c r="C72" s="18" t="s">
        <v>49</v>
      </c>
      <c r="D72" s="5" t="s">
        <v>418</v>
      </c>
      <c r="E72" s="57" t="s">
        <v>49</v>
      </c>
      <c r="F72" s="60"/>
      <c r="G72">
        <v>6</v>
      </c>
      <c r="H72">
        <v>9.8000000000000007</v>
      </c>
      <c r="I72">
        <f>((4+3)/2)*50*100</f>
        <v>17500</v>
      </c>
    </row>
    <row r="73" spans="1:9" x14ac:dyDescent="0.25">
      <c r="A73">
        <v>1</v>
      </c>
      <c r="B73" t="str">
        <f t="shared" si="1"/>
        <v>I1</v>
      </c>
      <c r="C73" s="18" t="s">
        <v>56</v>
      </c>
      <c r="D73" s="5" t="s">
        <v>418</v>
      </c>
      <c r="E73" s="57" t="s">
        <v>60</v>
      </c>
      <c r="F73" s="60"/>
      <c r="G73">
        <v>6</v>
      </c>
      <c r="H73">
        <v>10.4</v>
      </c>
      <c r="I73">
        <f>3*50*100</f>
        <v>15000</v>
      </c>
    </row>
    <row r="74" spans="1:9" x14ac:dyDescent="0.25">
      <c r="A74">
        <v>1</v>
      </c>
      <c r="B74" t="str">
        <f t="shared" si="1"/>
        <v>N1</v>
      </c>
      <c r="C74" s="18" t="s">
        <v>62</v>
      </c>
      <c r="D74" s="5" t="s">
        <v>418</v>
      </c>
      <c r="E74" s="57" t="s">
        <v>60</v>
      </c>
      <c r="F74" s="60"/>
      <c r="G74">
        <v>6</v>
      </c>
      <c r="H74">
        <v>14.8</v>
      </c>
      <c r="I74">
        <f>((2+8)/2)*50*100</f>
        <v>25000</v>
      </c>
    </row>
    <row r="75" spans="1:9" x14ac:dyDescent="0.25">
      <c r="A75">
        <v>1</v>
      </c>
      <c r="B75" t="str">
        <f t="shared" si="1"/>
        <v>H1</v>
      </c>
      <c r="C75" s="4" t="s">
        <v>53</v>
      </c>
      <c r="D75" s="10" t="s">
        <v>421</v>
      </c>
      <c r="E75" s="88" t="s">
        <v>60</v>
      </c>
      <c r="F75" s="95"/>
      <c r="G75">
        <v>6</v>
      </c>
      <c r="H75">
        <v>7</v>
      </c>
    </row>
    <row r="76" spans="1:9" x14ac:dyDescent="0.25">
      <c r="A76">
        <v>1</v>
      </c>
      <c r="B76" t="str">
        <f t="shared" si="1"/>
        <v>L1</v>
      </c>
      <c r="C76" s="4" t="s">
        <v>58</v>
      </c>
      <c r="D76" s="10" t="s">
        <v>421</v>
      </c>
      <c r="E76" s="88" t="s">
        <v>49</v>
      </c>
      <c r="F76" s="95"/>
      <c r="G76">
        <v>6</v>
      </c>
      <c r="H76">
        <v>10.199999999999999</v>
      </c>
    </row>
    <row r="77" spans="1:9" x14ac:dyDescent="0.25">
      <c r="A77">
        <v>1</v>
      </c>
      <c r="B77" t="str">
        <f t="shared" si="1"/>
        <v>C1</v>
      </c>
      <c r="C77" s="17" t="s">
        <v>43</v>
      </c>
      <c r="D77" s="26" t="s">
        <v>419</v>
      </c>
      <c r="E77" s="85" t="s">
        <v>49</v>
      </c>
      <c r="F77" s="94"/>
      <c r="G77">
        <v>6</v>
      </c>
      <c r="H77">
        <v>2.1</v>
      </c>
      <c r="I77">
        <f>((10+9)/2)*50*100</f>
        <v>47500</v>
      </c>
    </row>
    <row r="78" spans="1:9" x14ac:dyDescent="0.25">
      <c r="A78">
        <v>1</v>
      </c>
      <c r="B78" t="str">
        <f t="shared" si="1"/>
        <v>E1</v>
      </c>
      <c r="C78" s="17" t="s">
        <v>47</v>
      </c>
      <c r="D78" s="26" t="s">
        <v>419</v>
      </c>
      <c r="E78" s="85" t="s">
        <v>60</v>
      </c>
      <c r="F78" s="94"/>
      <c r="G78">
        <v>6</v>
      </c>
      <c r="H78">
        <v>3.1</v>
      </c>
      <c r="I78">
        <f>((4+3)/2)*50*10</f>
        <v>1750</v>
      </c>
    </row>
    <row r="79" spans="1:9" x14ac:dyDescent="0.25">
      <c r="A79">
        <v>1</v>
      </c>
      <c r="B79" t="str">
        <f t="shared" si="1"/>
        <v>G1</v>
      </c>
      <c r="C79" s="17" t="s">
        <v>51</v>
      </c>
      <c r="D79" s="26" t="s">
        <v>419</v>
      </c>
      <c r="E79" s="85" t="s">
        <v>49</v>
      </c>
      <c r="F79" s="94"/>
      <c r="G79">
        <v>6</v>
      </c>
      <c r="H79">
        <v>1.7</v>
      </c>
      <c r="I79">
        <f>((3+5+5)/3)*50*100</f>
        <v>21666.666666666664</v>
      </c>
    </row>
    <row r="80" spans="1:9" x14ac:dyDescent="0.25">
      <c r="A80">
        <v>1</v>
      </c>
      <c r="B80" t="str">
        <f t="shared" si="1"/>
        <v>O1</v>
      </c>
      <c r="C80" s="17" t="s">
        <v>64</v>
      </c>
      <c r="D80" s="26" t="s">
        <v>419</v>
      </c>
      <c r="E80" s="85" t="s">
        <v>60</v>
      </c>
      <c r="F80" s="94"/>
      <c r="G80">
        <v>6</v>
      </c>
      <c r="H80">
        <v>1.8</v>
      </c>
      <c r="I80">
        <f>((7/3)*50*100)</f>
        <v>11666.666666666668</v>
      </c>
    </row>
    <row r="81" spans="1:9" x14ac:dyDescent="0.25">
      <c r="A81">
        <v>1</v>
      </c>
      <c r="B81" t="str">
        <f t="shared" si="1"/>
        <v>K1</v>
      </c>
      <c r="C81" s="3" t="s">
        <v>82</v>
      </c>
      <c r="D81" s="9" t="s">
        <v>420</v>
      </c>
      <c r="E81" s="87" t="s">
        <v>60</v>
      </c>
      <c r="F81" s="62"/>
      <c r="G81">
        <v>6</v>
      </c>
      <c r="H81">
        <v>2.2000000000000002</v>
      </c>
    </row>
    <row r="82" spans="1:9" x14ac:dyDescent="0.25">
      <c r="A82">
        <v>1</v>
      </c>
      <c r="B82" t="str">
        <f t="shared" si="1"/>
        <v>S1</v>
      </c>
      <c r="C82" s="3" t="s">
        <v>70</v>
      </c>
      <c r="D82" s="9" t="s">
        <v>420</v>
      </c>
      <c r="E82" s="87" t="s">
        <v>49</v>
      </c>
      <c r="F82" s="62"/>
      <c r="G82">
        <v>6</v>
      </c>
      <c r="H82">
        <v>1.7</v>
      </c>
    </row>
    <row r="83" spans="1:9" x14ac:dyDescent="0.25">
      <c r="A83">
        <v>1</v>
      </c>
      <c r="B83" t="str">
        <f t="shared" si="1"/>
        <v>J1</v>
      </c>
      <c r="C83" s="15" t="s">
        <v>80</v>
      </c>
      <c r="D83" s="36" t="s">
        <v>417</v>
      </c>
      <c r="E83" s="81" t="s">
        <v>60</v>
      </c>
      <c r="F83" s="59"/>
      <c r="G83">
        <v>6</v>
      </c>
      <c r="H83">
        <v>2</v>
      </c>
      <c r="I83">
        <f>((4+5)/2)*50*100</f>
        <v>22500</v>
      </c>
    </row>
    <row r="84" spans="1:9" x14ac:dyDescent="0.25">
      <c r="A84">
        <v>1</v>
      </c>
      <c r="B84" t="str">
        <f t="shared" si="1"/>
        <v>M1</v>
      </c>
      <c r="C84" s="15" t="s">
        <v>60</v>
      </c>
      <c r="D84" s="36" t="s">
        <v>417</v>
      </c>
      <c r="E84" s="81" t="s">
        <v>49</v>
      </c>
      <c r="F84" s="59"/>
      <c r="G84">
        <v>6</v>
      </c>
      <c r="H84">
        <v>2.8</v>
      </c>
      <c r="I84">
        <f>((5+11)/2)*50*100</f>
        <v>40000</v>
      </c>
    </row>
    <row r="85" spans="1:9" x14ac:dyDescent="0.25">
      <c r="A85">
        <v>1</v>
      </c>
      <c r="B85" t="str">
        <f t="shared" si="1"/>
        <v>P1</v>
      </c>
      <c r="C85" s="15" t="s">
        <v>66</v>
      </c>
      <c r="D85" s="36" t="s">
        <v>417</v>
      </c>
      <c r="E85" s="81" t="s">
        <v>60</v>
      </c>
      <c r="F85" s="59"/>
      <c r="G85">
        <v>6</v>
      </c>
      <c r="I85">
        <f>(14/3)*50*1000</f>
        <v>233333.33333333334</v>
      </c>
    </row>
    <row r="86" spans="1:9" x14ac:dyDescent="0.25">
      <c r="A86">
        <v>1</v>
      </c>
      <c r="B86" t="str">
        <f t="shared" si="1"/>
        <v>R1</v>
      </c>
      <c r="C86" s="15" t="s">
        <v>68</v>
      </c>
      <c r="D86" s="36" t="s">
        <v>417</v>
      </c>
      <c r="E86" s="81" t="s">
        <v>49</v>
      </c>
      <c r="F86" s="59"/>
      <c r="G86">
        <v>6</v>
      </c>
      <c r="H86">
        <v>3.4</v>
      </c>
      <c r="I86">
        <f>((9+4+6)/3)*50*100</f>
        <v>31666.666666666664</v>
      </c>
    </row>
    <row r="87" spans="1:9" x14ac:dyDescent="0.25">
      <c r="A87">
        <v>2</v>
      </c>
      <c r="B87" t="str">
        <f t="shared" si="1"/>
        <v>F2</v>
      </c>
      <c r="C87" s="18" t="s">
        <v>49</v>
      </c>
      <c r="D87" s="5" t="s">
        <v>418</v>
      </c>
      <c r="E87" s="39" t="s">
        <v>60</v>
      </c>
      <c r="F87" s="40">
        <v>1189</v>
      </c>
      <c r="G87" s="35">
        <v>6</v>
      </c>
      <c r="H87">
        <v>14.7</v>
      </c>
      <c r="I87">
        <f>(4+1+2)/3*50*1000</f>
        <v>116666.66666666667</v>
      </c>
    </row>
    <row r="88" spans="1:9" x14ac:dyDescent="0.25">
      <c r="A88">
        <v>2</v>
      </c>
      <c r="B88" t="str">
        <f t="shared" si="1"/>
        <v>H2</v>
      </c>
      <c r="C88" s="18" t="s">
        <v>53</v>
      </c>
      <c r="D88" s="5" t="s">
        <v>418</v>
      </c>
      <c r="E88" s="39" t="s">
        <v>60</v>
      </c>
      <c r="F88" s="40">
        <v>1243</v>
      </c>
      <c r="G88" s="35">
        <v>6</v>
      </c>
      <c r="I88">
        <f>(13+14+16)/3*50*100</f>
        <v>71666.666666666672</v>
      </c>
    </row>
    <row r="89" spans="1:9" x14ac:dyDescent="0.25">
      <c r="A89">
        <v>2</v>
      </c>
      <c r="B89" t="str">
        <f t="shared" si="1"/>
        <v>N2</v>
      </c>
      <c r="C89" s="18" t="s">
        <v>62</v>
      </c>
      <c r="D89" s="5" t="s">
        <v>418</v>
      </c>
      <c r="E89" s="39" t="s">
        <v>60</v>
      </c>
      <c r="F89" s="40">
        <v>791</v>
      </c>
      <c r="G89" s="35">
        <v>6</v>
      </c>
      <c r="H89">
        <v>14.9</v>
      </c>
      <c r="I89">
        <f>(1+2+4)/3*50*1000</f>
        <v>116666.66666666667</v>
      </c>
    </row>
    <row r="90" spans="1:9" x14ac:dyDescent="0.25">
      <c r="A90">
        <v>2</v>
      </c>
      <c r="B90" t="str">
        <f t="shared" si="1"/>
        <v>Q2</v>
      </c>
      <c r="C90" s="18" t="s">
        <v>385</v>
      </c>
      <c r="D90" s="5" t="s">
        <v>418</v>
      </c>
      <c r="E90" s="39" t="s">
        <v>49</v>
      </c>
      <c r="F90" s="40">
        <v>793.5</v>
      </c>
      <c r="G90" s="35">
        <v>6</v>
      </c>
      <c r="H90">
        <v>7.2</v>
      </c>
      <c r="I90">
        <f>(4+4+3)/3*50*100</f>
        <v>18333.333333333332</v>
      </c>
    </row>
    <row r="91" spans="1:9" x14ac:dyDescent="0.25">
      <c r="A91">
        <v>2</v>
      </c>
      <c r="B91" t="str">
        <f t="shared" si="1"/>
        <v>R2</v>
      </c>
      <c r="C91" s="18" t="s">
        <v>68</v>
      </c>
      <c r="D91" s="5" t="s">
        <v>418</v>
      </c>
      <c r="E91" s="39" t="s">
        <v>49</v>
      </c>
      <c r="F91" s="40">
        <v>1303</v>
      </c>
      <c r="G91" s="35">
        <v>6</v>
      </c>
      <c r="H91">
        <v>5.6</v>
      </c>
      <c r="I91">
        <f>(5+6+11)/3*50*100</f>
        <v>36666.666666666664</v>
      </c>
    </row>
    <row r="92" spans="1:9" x14ac:dyDescent="0.25">
      <c r="A92">
        <v>2</v>
      </c>
      <c r="B92" t="str">
        <f t="shared" si="1"/>
        <v>Y2</v>
      </c>
      <c r="C92" s="18" t="s">
        <v>384</v>
      </c>
      <c r="D92" s="5" t="s">
        <v>418</v>
      </c>
      <c r="E92" s="39" t="s">
        <v>60</v>
      </c>
      <c r="F92" s="40">
        <v>1340.4</v>
      </c>
      <c r="G92" s="35">
        <v>6</v>
      </c>
      <c r="H92">
        <v>6.8</v>
      </c>
      <c r="I92">
        <f>(6+3+8)/3*50*100</f>
        <v>28333.333333333336</v>
      </c>
    </row>
    <row r="93" spans="1:9" x14ac:dyDescent="0.25">
      <c r="A93">
        <v>2</v>
      </c>
      <c r="B93" t="str">
        <f t="shared" si="1"/>
        <v>G2</v>
      </c>
      <c r="C93" s="4" t="s">
        <v>51</v>
      </c>
      <c r="D93" s="10" t="s">
        <v>421</v>
      </c>
      <c r="E93" s="43" t="s">
        <v>49</v>
      </c>
      <c r="F93" s="44">
        <v>1387</v>
      </c>
      <c r="G93" s="35">
        <v>6</v>
      </c>
      <c r="H93">
        <v>17.5</v>
      </c>
    </row>
    <row r="94" spans="1:9" x14ac:dyDescent="0.25">
      <c r="A94">
        <v>2</v>
      </c>
      <c r="B94" t="str">
        <f t="shared" si="1"/>
        <v>I2</v>
      </c>
      <c r="C94" s="4" t="s">
        <v>56</v>
      </c>
      <c r="D94" s="10" t="s">
        <v>421</v>
      </c>
      <c r="E94" s="92" t="s">
        <v>60</v>
      </c>
      <c r="F94" s="99">
        <v>1015.2</v>
      </c>
      <c r="G94" s="35">
        <v>6</v>
      </c>
      <c r="H94">
        <v>14.9</v>
      </c>
    </row>
    <row r="95" spans="1:9" x14ac:dyDescent="0.25">
      <c r="A95">
        <v>2</v>
      </c>
      <c r="B95" t="str">
        <f t="shared" si="1"/>
        <v>T2</v>
      </c>
      <c r="C95" s="4" t="s">
        <v>386</v>
      </c>
      <c r="D95" s="10" t="s">
        <v>421</v>
      </c>
      <c r="E95" s="43" t="s">
        <v>60</v>
      </c>
      <c r="F95" s="44">
        <v>1193</v>
      </c>
      <c r="G95" s="35">
        <v>6</v>
      </c>
      <c r="H95">
        <v>14.6</v>
      </c>
    </row>
    <row r="96" spans="1:9" x14ac:dyDescent="0.25">
      <c r="A96">
        <v>2</v>
      </c>
      <c r="B96" t="str">
        <f t="shared" si="1"/>
        <v>Å2</v>
      </c>
      <c r="C96" s="17" t="s">
        <v>145</v>
      </c>
      <c r="D96" s="26" t="s">
        <v>419</v>
      </c>
      <c r="E96" s="37" t="s">
        <v>60</v>
      </c>
      <c r="F96" s="38">
        <v>902</v>
      </c>
      <c r="G96" s="35">
        <v>6</v>
      </c>
      <c r="H96">
        <v>3.3</v>
      </c>
      <c r="I96">
        <f>(2+2+1)/3*50*100</f>
        <v>8333.3333333333339</v>
      </c>
    </row>
    <row r="97" spans="1:9" x14ac:dyDescent="0.25">
      <c r="A97">
        <v>2</v>
      </c>
      <c r="B97" t="str">
        <f t="shared" si="1"/>
        <v>D2</v>
      </c>
      <c r="C97" s="17" t="s">
        <v>45</v>
      </c>
      <c r="D97" s="26" t="s">
        <v>419</v>
      </c>
      <c r="E97" s="37" t="s">
        <v>49</v>
      </c>
      <c r="F97" s="38">
        <v>1041</v>
      </c>
      <c r="G97" s="35">
        <v>6</v>
      </c>
      <c r="H97">
        <v>2.9</v>
      </c>
      <c r="I97">
        <f>(1+3+3)/3*50*100</f>
        <v>11666.666666666668</v>
      </c>
    </row>
    <row r="98" spans="1:9" x14ac:dyDescent="0.25">
      <c r="A98">
        <v>2</v>
      </c>
      <c r="B98" t="str">
        <f t="shared" si="1"/>
        <v>E2</v>
      </c>
      <c r="C98" s="17" t="s">
        <v>47</v>
      </c>
      <c r="D98" s="26" t="s">
        <v>419</v>
      </c>
      <c r="E98" s="37" t="s">
        <v>49</v>
      </c>
      <c r="F98" s="38">
        <v>1260.5999999999999</v>
      </c>
      <c r="G98" s="35">
        <v>6</v>
      </c>
      <c r="H98">
        <v>2.5</v>
      </c>
      <c r="I98">
        <f>(7+2+2)/3*50*100</f>
        <v>18333.333333333332</v>
      </c>
    </row>
    <row r="99" spans="1:9" x14ac:dyDescent="0.25">
      <c r="A99">
        <v>2</v>
      </c>
      <c r="B99" t="str">
        <f t="shared" si="1"/>
        <v>K2</v>
      </c>
      <c r="C99" s="17" t="s">
        <v>82</v>
      </c>
      <c r="D99" s="26" t="s">
        <v>419</v>
      </c>
      <c r="E99" s="37" t="s">
        <v>60</v>
      </c>
      <c r="F99" s="38">
        <v>1405</v>
      </c>
      <c r="G99" s="35">
        <v>6</v>
      </c>
      <c r="H99">
        <v>2.6</v>
      </c>
      <c r="I99">
        <f>(3+4+2)/3*50*100</f>
        <v>15000</v>
      </c>
    </row>
    <row r="100" spans="1:9" x14ac:dyDescent="0.25">
      <c r="A100">
        <v>2</v>
      </c>
      <c r="B100" t="str">
        <f t="shared" si="1"/>
        <v>U2</v>
      </c>
      <c r="C100" s="17" t="s">
        <v>388</v>
      </c>
      <c r="D100" s="26" t="s">
        <v>419</v>
      </c>
      <c r="E100" s="37" t="s">
        <v>60</v>
      </c>
      <c r="F100" s="38">
        <v>741.5</v>
      </c>
      <c r="G100" s="35">
        <v>6</v>
      </c>
      <c r="H100">
        <v>2.9</v>
      </c>
      <c r="I100">
        <f>(10+5+8)/3*50*100</f>
        <v>38333.333333333336</v>
      </c>
    </row>
    <row r="101" spans="1:9" x14ac:dyDescent="0.25">
      <c r="A101">
        <v>2</v>
      </c>
      <c r="B101" t="str">
        <f t="shared" si="1"/>
        <v>V2</v>
      </c>
      <c r="C101" s="17" t="s">
        <v>389</v>
      </c>
      <c r="D101" s="26" t="s">
        <v>419</v>
      </c>
      <c r="E101" s="37" t="s">
        <v>60</v>
      </c>
      <c r="F101" s="38">
        <v>1281</v>
      </c>
      <c r="G101" s="35">
        <v>6</v>
      </c>
      <c r="H101">
        <v>4.4000000000000004</v>
      </c>
      <c r="I101">
        <f>(4+3+1)/3*50*100</f>
        <v>13333.333333333332</v>
      </c>
    </row>
    <row r="102" spans="1:9" x14ac:dyDescent="0.25">
      <c r="A102">
        <v>2</v>
      </c>
      <c r="B102" t="str">
        <f t="shared" si="1"/>
        <v>X2</v>
      </c>
      <c r="C102" s="17" t="s">
        <v>390</v>
      </c>
      <c r="D102" s="26" t="s">
        <v>419</v>
      </c>
      <c r="E102" s="37" t="s">
        <v>60</v>
      </c>
      <c r="F102" s="38">
        <v>1111</v>
      </c>
      <c r="G102" s="35">
        <v>6</v>
      </c>
      <c r="H102">
        <v>2.7</v>
      </c>
      <c r="I102">
        <f>(13+19+18)/3*50*10</f>
        <v>8333.3333333333339</v>
      </c>
    </row>
    <row r="103" spans="1:9" x14ac:dyDescent="0.25">
      <c r="A103">
        <v>2</v>
      </c>
      <c r="B103" t="str">
        <f t="shared" si="1"/>
        <v>L2</v>
      </c>
      <c r="C103" s="3" t="s">
        <v>58</v>
      </c>
      <c r="D103" s="9" t="s">
        <v>420</v>
      </c>
      <c r="E103" s="41" t="s">
        <v>60</v>
      </c>
      <c r="F103" s="42">
        <v>1202.8</v>
      </c>
      <c r="G103" s="35">
        <v>6</v>
      </c>
      <c r="H103">
        <v>2.2999999999999998</v>
      </c>
    </row>
    <row r="104" spans="1:9" x14ac:dyDescent="0.25">
      <c r="A104">
        <v>2</v>
      </c>
      <c r="B104" t="str">
        <f t="shared" si="1"/>
        <v>O2</v>
      </c>
      <c r="C104" s="3" t="s">
        <v>64</v>
      </c>
      <c r="D104" s="9" t="s">
        <v>420</v>
      </c>
      <c r="E104" s="41" t="s">
        <v>60</v>
      </c>
      <c r="F104" s="42">
        <v>1031</v>
      </c>
      <c r="G104" s="35">
        <v>6</v>
      </c>
      <c r="H104">
        <v>2.4</v>
      </c>
    </row>
    <row r="105" spans="1:9" x14ac:dyDescent="0.25">
      <c r="A105">
        <v>2</v>
      </c>
      <c r="B105" t="str">
        <f t="shared" si="1"/>
        <v>Ø2</v>
      </c>
      <c r="C105" s="3" t="s">
        <v>175</v>
      </c>
      <c r="D105" s="9" t="s">
        <v>420</v>
      </c>
      <c r="E105" s="41" t="s">
        <v>49</v>
      </c>
      <c r="F105" s="42">
        <v>1275</v>
      </c>
      <c r="G105" s="35">
        <v>6</v>
      </c>
      <c r="H105">
        <v>2.2999999999999998</v>
      </c>
    </row>
    <row r="106" spans="1:9" x14ac:dyDescent="0.25">
      <c r="A106">
        <v>2</v>
      </c>
      <c r="B106" t="str">
        <f t="shared" si="1"/>
        <v>A2</v>
      </c>
      <c r="C106" s="15" t="s">
        <v>36</v>
      </c>
      <c r="D106" s="36" t="s">
        <v>417</v>
      </c>
      <c r="E106" s="45" t="s">
        <v>60</v>
      </c>
      <c r="F106" s="46">
        <v>1210</v>
      </c>
      <c r="G106" s="35">
        <v>6</v>
      </c>
      <c r="H106">
        <v>1.8</v>
      </c>
      <c r="I106">
        <f>(2+4+5)/3*50*100</f>
        <v>18333.333333333332</v>
      </c>
    </row>
    <row r="107" spans="1:9" x14ac:dyDescent="0.25">
      <c r="A107">
        <v>2</v>
      </c>
      <c r="B107" t="str">
        <f t="shared" si="1"/>
        <v>Æ2</v>
      </c>
      <c r="C107" s="15" t="s">
        <v>202</v>
      </c>
      <c r="D107" s="36" t="s">
        <v>417</v>
      </c>
      <c r="E107" s="45" t="s">
        <v>60</v>
      </c>
      <c r="F107" s="46">
        <v>1180.8</v>
      </c>
      <c r="G107" s="35">
        <v>6</v>
      </c>
      <c r="H107">
        <v>2.1</v>
      </c>
      <c r="I107">
        <f>(5+10+10)/3*50*100</f>
        <v>41666.666666666672</v>
      </c>
    </row>
    <row r="108" spans="1:9" x14ac:dyDescent="0.25">
      <c r="A108">
        <v>2</v>
      </c>
      <c r="B108" t="str">
        <f t="shared" si="1"/>
        <v>B2</v>
      </c>
      <c r="C108" s="15" t="s">
        <v>39</v>
      </c>
      <c r="D108" s="36" t="s">
        <v>417</v>
      </c>
      <c r="E108" s="45" t="s">
        <v>49</v>
      </c>
      <c r="F108" s="46">
        <v>1015</v>
      </c>
      <c r="G108" s="35">
        <v>6</v>
      </c>
      <c r="H108">
        <v>2.7</v>
      </c>
      <c r="I108">
        <f>(6+11+7)/3*50*10</f>
        <v>4000</v>
      </c>
    </row>
    <row r="109" spans="1:9" x14ac:dyDescent="0.25">
      <c r="A109">
        <v>2</v>
      </c>
      <c r="B109" t="str">
        <f t="shared" si="1"/>
        <v>C2</v>
      </c>
      <c r="C109" s="15" t="s">
        <v>43</v>
      </c>
      <c r="D109" s="36" t="s">
        <v>417</v>
      </c>
      <c r="E109" s="45" t="s">
        <v>49</v>
      </c>
      <c r="F109" s="46">
        <v>1210</v>
      </c>
      <c r="G109" s="35">
        <v>6</v>
      </c>
      <c r="H109">
        <v>3.2</v>
      </c>
      <c r="I109">
        <f>(1+0+3)/3*50*10</f>
        <v>666.66666666666652</v>
      </c>
    </row>
    <row r="110" spans="1:9" x14ac:dyDescent="0.25">
      <c r="A110">
        <v>2</v>
      </c>
      <c r="B110" t="str">
        <f t="shared" si="1"/>
        <v>J2</v>
      </c>
      <c r="C110" s="15" t="s">
        <v>80</v>
      </c>
      <c r="D110" s="36" t="s">
        <v>417</v>
      </c>
      <c r="E110" s="45" t="s">
        <v>49</v>
      </c>
      <c r="F110" s="46">
        <v>678</v>
      </c>
      <c r="G110" s="35">
        <v>6</v>
      </c>
      <c r="H110">
        <v>1.5</v>
      </c>
      <c r="I110">
        <f>(9+7+5)/3*50*100</f>
        <v>35000</v>
      </c>
    </row>
    <row r="111" spans="1:9" x14ac:dyDescent="0.25">
      <c r="A111">
        <v>2</v>
      </c>
      <c r="B111" t="str">
        <f t="shared" si="1"/>
        <v>M2</v>
      </c>
      <c r="C111" s="15" t="s">
        <v>60</v>
      </c>
      <c r="D111" s="36" t="s">
        <v>417</v>
      </c>
      <c r="E111" s="45" t="s">
        <v>60</v>
      </c>
      <c r="F111" s="46">
        <v>1261</v>
      </c>
      <c r="G111" s="35">
        <v>6</v>
      </c>
      <c r="H111">
        <v>2.8</v>
      </c>
      <c r="I111">
        <f>(10+9+8)/3*50*10</f>
        <v>4500</v>
      </c>
    </row>
    <row r="112" spans="1:9" x14ac:dyDescent="0.25">
      <c r="A112">
        <v>2</v>
      </c>
      <c r="B112" t="str">
        <f t="shared" si="1"/>
        <v>P2</v>
      </c>
      <c r="C112" s="15" t="s">
        <v>66</v>
      </c>
      <c r="D112" s="36" t="s">
        <v>417</v>
      </c>
      <c r="E112" s="45" t="s">
        <v>49</v>
      </c>
      <c r="F112" s="46">
        <v>1098.7</v>
      </c>
      <c r="G112" s="35">
        <v>6</v>
      </c>
      <c r="H112">
        <v>2.4</v>
      </c>
      <c r="I112">
        <f>(5+15+12)/3*50*10</f>
        <v>5333.3333333333321</v>
      </c>
    </row>
    <row r="113" spans="1:9" x14ac:dyDescent="0.25">
      <c r="A113">
        <v>2</v>
      </c>
      <c r="B113" t="str">
        <f t="shared" si="1"/>
        <v>S2</v>
      </c>
      <c r="C113" s="15" t="s">
        <v>70</v>
      </c>
      <c r="D113" s="36" t="s">
        <v>417</v>
      </c>
      <c r="E113" s="45" t="s">
        <v>60</v>
      </c>
      <c r="F113" s="46">
        <v>1327</v>
      </c>
      <c r="G113" s="35">
        <v>6</v>
      </c>
      <c r="H113">
        <v>2.9</v>
      </c>
      <c r="I113">
        <f>(13+15+18)/3*50*100</f>
        <v>76666.666666666672</v>
      </c>
    </row>
    <row r="114" spans="1:9" x14ac:dyDescent="0.25">
      <c r="A114">
        <v>2</v>
      </c>
      <c r="B114" t="str">
        <f t="shared" si="1"/>
        <v>Z2</v>
      </c>
      <c r="C114" s="15" t="s">
        <v>387</v>
      </c>
      <c r="D114" s="36" t="s">
        <v>417</v>
      </c>
      <c r="E114" s="45" t="s">
        <v>49</v>
      </c>
      <c r="F114" s="46">
        <v>1270</v>
      </c>
      <c r="G114" s="35">
        <v>6</v>
      </c>
      <c r="H114">
        <v>1.9</v>
      </c>
      <c r="I114">
        <f>(7+8+11)/3*50*100</f>
        <v>43333.333333333328</v>
      </c>
    </row>
    <row r="115" spans="1:9" x14ac:dyDescent="0.25">
      <c r="A115">
        <v>3</v>
      </c>
      <c r="B115" t="str">
        <f t="shared" si="1"/>
        <v>A3</v>
      </c>
      <c r="C115" s="35" t="s">
        <v>36</v>
      </c>
      <c r="D115" s="5" t="s">
        <v>418</v>
      </c>
      <c r="E115" s="57" t="s">
        <v>49</v>
      </c>
      <c r="F115" s="60">
        <v>725</v>
      </c>
      <c r="G115" s="35">
        <v>6</v>
      </c>
      <c r="H115">
        <v>19.2</v>
      </c>
      <c r="I115">
        <f>(10+7+16)/3*50*100</f>
        <v>55000</v>
      </c>
    </row>
    <row r="116" spans="1:9" x14ac:dyDescent="0.25">
      <c r="A116">
        <v>3</v>
      </c>
      <c r="B116" t="str">
        <f t="shared" si="1"/>
        <v>B3</v>
      </c>
      <c r="C116" s="35" t="s">
        <v>39</v>
      </c>
      <c r="D116" s="5" t="s">
        <v>418</v>
      </c>
      <c r="E116" s="57" t="s">
        <v>49</v>
      </c>
      <c r="F116" s="60">
        <v>794</v>
      </c>
      <c r="G116" s="35">
        <v>6</v>
      </c>
      <c r="H116">
        <v>21.1</v>
      </c>
      <c r="I116">
        <f>(2+2+1)/3*50*1000</f>
        <v>83333.333333333343</v>
      </c>
    </row>
    <row r="117" spans="1:9" x14ac:dyDescent="0.25">
      <c r="A117">
        <v>3</v>
      </c>
      <c r="B117" t="str">
        <f t="shared" si="1"/>
        <v>D3</v>
      </c>
      <c r="C117" s="35" t="s">
        <v>45</v>
      </c>
      <c r="D117" s="5" t="s">
        <v>418</v>
      </c>
      <c r="E117" s="57" t="s">
        <v>60</v>
      </c>
      <c r="F117" s="60">
        <v>949.7</v>
      </c>
      <c r="G117" s="35">
        <v>6</v>
      </c>
      <c r="H117">
        <v>21</v>
      </c>
      <c r="I117">
        <f>(12+14+8)/3*50*100</f>
        <v>56666.666666666672</v>
      </c>
    </row>
    <row r="118" spans="1:9" x14ac:dyDescent="0.25">
      <c r="A118">
        <v>3</v>
      </c>
      <c r="B118" t="str">
        <f t="shared" si="1"/>
        <v>GAMMA3</v>
      </c>
      <c r="C118" s="35" t="s">
        <v>585</v>
      </c>
      <c r="D118" s="5" t="s">
        <v>418</v>
      </c>
      <c r="E118" s="57" t="s">
        <v>60</v>
      </c>
      <c r="F118" s="60">
        <v>1159</v>
      </c>
      <c r="G118" s="35">
        <v>6</v>
      </c>
      <c r="H118">
        <v>12.8</v>
      </c>
      <c r="I118">
        <f>(14+16+20)/3*50*100</f>
        <v>83333.333333333343</v>
      </c>
    </row>
    <row r="119" spans="1:9" x14ac:dyDescent="0.25">
      <c r="A119">
        <v>3</v>
      </c>
      <c r="B119" t="str">
        <f t="shared" si="1"/>
        <v>H3</v>
      </c>
      <c r="C119" s="35" t="s">
        <v>53</v>
      </c>
      <c r="D119" s="5" t="s">
        <v>418</v>
      </c>
      <c r="E119" s="57" t="s">
        <v>49</v>
      </c>
      <c r="F119" s="60">
        <v>1104</v>
      </c>
      <c r="G119" s="35">
        <v>6</v>
      </c>
      <c r="H119">
        <v>20.3</v>
      </c>
      <c r="I119">
        <f>(3+2+4)/3*50*1000</f>
        <v>150000</v>
      </c>
    </row>
    <row r="120" spans="1:9" x14ac:dyDescent="0.25">
      <c r="A120">
        <v>3</v>
      </c>
      <c r="B120" t="str">
        <f t="shared" si="1"/>
        <v>J3</v>
      </c>
      <c r="C120" s="35" t="s">
        <v>80</v>
      </c>
      <c r="D120" s="5" t="s">
        <v>418</v>
      </c>
      <c r="E120" s="57" t="s">
        <v>60</v>
      </c>
      <c r="F120" s="60">
        <v>885</v>
      </c>
      <c r="G120" s="35">
        <v>6</v>
      </c>
      <c r="H120">
        <v>13</v>
      </c>
      <c r="I120">
        <f>(16+20+19)/3*50*100</f>
        <v>91666.666666666657</v>
      </c>
    </row>
    <row r="121" spans="1:9" x14ac:dyDescent="0.25">
      <c r="A121">
        <v>3</v>
      </c>
      <c r="B121" t="str">
        <f t="shared" si="1"/>
        <v>Æ3</v>
      </c>
      <c r="C121" s="35" t="s">
        <v>202</v>
      </c>
      <c r="D121" s="10" t="s">
        <v>421</v>
      </c>
      <c r="E121" s="91" t="s">
        <v>49</v>
      </c>
      <c r="F121" s="98">
        <v>908</v>
      </c>
      <c r="G121" s="35">
        <v>6</v>
      </c>
      <c r="H121">
        <v>16.8</v>
      </c>
    </row>
    <row r="122" spans="1:9" x14ac:dyDescent="0.25">
      <c r="A122">
        <v>3</v>
      </c>
      <c r="B122" t="str">
        <f t="shared" si="1"/>
        <v>K3</v>
      </c>
      <c r="C122" s="35" t="s">
        <v>82</v>
      </c>
      <c r="D122" s="10" t="s">
        <v>421</v>
      </c>
      <c r="E122" s="90" t="s">
        <v>49</v>
      </c>
      <c r="F122" s="97">
        <v>984</v>
      </c>
      <c r="G122" s="35">
        <v>6</v>
      </c>
      <c r="H122">
        <v>19.3</v>
      </c>
    </row>
    <row r="123" spans="1:9" x14ac:dyDescent="0.25">
      <c r="A123">
        <v>3</v>
      </c>
      <c r="B123" t="str">
        <f t="shared" si="1"/>
        <v>Q3</v>
      </c>
      <c r="C123" s="35" t="s">
        <v>385</v>
      </c>
      <c r="D123" s="10" t="s">
        <v>421</v>
      </c>
      <c r="E123" s="91" t="s">
        <v>60</v>
      </c>
      <c r="F123" s="98">
        <v>676</v>
      </c>
      <c r="G123" s="35">
        <v>6</v>
      </c>
      <c r="H123">
        <v>15</v>
      </c>
    </row>
    <row r="124" spans="1:9" x14ac:dyDescent="0.25">
      <c r="A124">
        <v>3</v>
      </c>
      <c r="B124" t="str">
        <f t="shared" si="1"/>
        <v>N3</v>
      </c>
      <c r="C124" s="35" t="s">
        <v>62</v>
      </c>
      <c r="D124" s="26" t="s">
        <v>419</v>
      </c>
      <c r="E124" s="85" t="s">
        <v>60</v>
      </c>
      <c r="F124" s="94">
        <v>1219</v>
      </c>
      <c r="G124" s="35">
        <v>6</v>
      </c>
      <c r="H124">
        <v>3.4</v>
      </c>
      <c r="I124">
        <f>(3+2+3)/3*50*100</f>
        <v>13333.333333333332</v>
      </c>
    </row>
    <row r="125" spans="1:9" x14ac:dyDescent="0.25">
      <c r="A125">
        <v>3</v>
      </c>
      <c r="B125" t="str">
        <f t="shared" si="1"/>
        <v>O3</v>
      </c>
      <c r="C125" s="35" t="s">
        <v>64</v>
      </c>
      <c r="D125" s="26" t="s">
        <v>419</v>
      </c>
      <c r="E125" s="85" t="s">
        <v>49</v>
      </c>
      <c r="F125" s="94">
        <v>849</v>
      </c>
      <c r="G125" s="35">
        <v>6</v>
      </c>
      <c r="H125">
        <v>3.3</v>
      </c>
    </row>
    <row r="126" spans="1:9" x14ac:dyDescent="0.25">
      <c r="A126">
        <v>3</v>
      </c>
      <c r="B126" t="str">
        <f t="shared" si="1"/>
        <v>T3</v>
      </c>
      <c r="C126" s="35" t="s">
        <v>386</v>
      </c>
      <c r="D126" s="26" t="s">
        <v>419</v>
      </c>
      <c r="E126" s="85" t="s">
        <v>60</v>
      </c>
      <c r="F126" s="94">
        <v>1017</v>
      </c>
      <c r="G126" s="35">
        <v>6</v>
      </c>
      <c r="H126">
        <v>3.8</v>
      </c>
      <c r="I126">
        <f>(21+29+23)/3*50*100</f>
        <v>121666.66666666666</v>
      </c>
    </row>
    <row r="127" spans="1:9" x14ac:dyDescent="0.25">
      <c r="A127">
        <v>3</v>
      </c>
      <c r="B127" t="str">
        <f t="shared" si="1"/>
        <v>U3</v>
      </c>
      <c r="C127" s="35" t="s">
        <v>388</v>
      </c>
      <c r="D127" s="26" t="s">
        <v>419</v>
      </c>
      <c r="E127" s="85" t="s">
        <v>49</v>
      </c>
      <c r="F127" s="94">
        <v>909</v>
      </c>
      <c r="G127" s="35">
        <v>6</v>
      </c>
      <c r="H127">
        <v>3.6</v>
      </c>
      <c r="I127">
        <f>(2+2+4)/3*50*1000</f>
        <v>133333.33333333331</v>
      </c>
    </row>
    <row r="128" spans="1:9" x14ac:dyDescent="0.25">
      <c r="A128">
        <v>3</v>
      </c>
      <c r="B128" t="str">
        <f t="shared" si="1"/>
        <v>V3</v>
      </c>
      <c r="C128" s="35" t="s">
        <v>389</v>
      </c>
      <c r="D128" s="26" t="s">
        <v>419</v>
      </c>
      <c r="E128" s="85" t="s">
        <v>49</v>
      </c>
      <c r="F128" s="94">
        <v>795</v>
      </c>
      <c r="G128" s="35">
        <v>6</v>
      </c>
      <c r="H128">
        <v>2.9</v>
      </c>
      <c r="I128">
        <f>(4+5+5)/3*50*100</f>
        <v>23333.333333333336</v>
      </c>
    </row>
    <row r="129" spans="1:9" x14ac:dyDescent="0.25">
      <c r="A129">
        <v>3</v>
      </c>
      <c r="B129" t="str">
        <f t="shared" si="1"/>
        <v>Y3</v>
      </c>
      <c r="C129" s="35" t="s">
        <v>384</v>
      </c>
      <c r="D129" s="26" t="s">
        <v>419</v>
      </c>
      <c r="E129" s="85" t="s">
        <v>49</v>
      </c>
      <c r="F129" s="94">
        <v>702</v>
      </c>
      <c r="G129" s="35">
        <v>6</v>
      </c>
      <c r="H129">
        <v>2.2999999999999998</v>
      </c>
      <c r="I129">
        <f>(3+4+4)/3*50*100</f>
        <v>18333.333333333332</v>
      </c>
    </row>
    <row r="130" spans="1:9" x14ac:dyDescent="0.25">
      <c r="A130">
        <v>3</v>
      </c>
      <c r="B130" t="str">
        <f t="shared" ref="B130:B193" si="2">C130&amp;A130</f>
        <v>G3</v>
      </c>
      <c r="C130" s="35" t="s">
        <v>51</v>
      </c>
      <c r="D130" s="51" t="s">
        <v>420</v>
      </c>
      <c r="E130" s="58" t="s">
        <v>49</v>
      </c>
      <c r="F130" s="61">
        <v>993</v>
      </c>
      <c r="G130" s="35">
        <v>6</v>
      </c>
      <c r="H130">
        <v>2.7</v>
      </c>
    </row>
    <row r="131" spans="1:9" x14ac:dyDescent="0.25">
      <c r="A131">
        <v>3</v>
      </c>
      <c r="B131" t="str">
        <f t="shared" si="2"/>
        <v>P3</v>
      </c>
      <c r="C131" s="35" t="s">
        <v>66</v>
      </c>
      <c r="D131" s="51" t="s">
        <v>420</v>
      </c>
      <c r="E131" s="58" t="s">
        <v>60</v>
      </c>
      <c r="F131" s="61">
        <v>1279</v>
      </c>
      <c r="G131" s="35">
        <v>6</v>
      </c>
      <c r="H131">
        <v>3.1</v>
      </c>
    </row>
    <row r="132" spans="1:9" x14ac:dyDescent="0.25">
      <c r="A132">
        <v>3</v>
      </c>
      <c r="B132" t="str">
        <f t="shared" si="2"/>
        <v>R3</v>
      </c>
      <c r="C132" s="35" t="s">
        <v>68</v>
      </c>
      <c r="D132" s="51" t="s">
        <v>420</v>
      </c>
      <c r="E132" s="58" t="s">
        <v>60</v>
      </c>
      <c r="F132" s="61">
        <v>637</v>
      </c>
      <c r="G132" s="35">
        <v>6</v>
      </c>
      <c r="H132">
        <v>2.2000000000000002</v>
      </c>
    </row>
    <row r="133" spans="1:9" x14ac:dyDescent="0.25">
      <c r="A133">
        <v>3</v>
      </c>
      <c r="B133" t="str">
        <f t="shared" si="2"/>
        <v>X3</v>
      </c>
      <c r="C133" s="35" t="s">
        <v>390</v>
      </c>
      <c r="D133" s="51" t="s">
        <v>420</v>
      </c>
      <c r="E133" s="58" t="s">
        <v>49</v>
      </c>
      <c r="F133" s="61">
        <v>828</v>
      </c>
      <c r="G133" s="35">
        <v>6</v>
      </c>
      <c r="H133">
        <v>2.4</v>
      </c>
    </row>
    <row r="134" spans="1:9" x14ac:dyDescent="0.25">
      <c r="A134">
        <v>3</v>
      </c>
      <c r="B134" t="str">
        <f t="shared" si="2"/>
        <v>Å3</v>
      </c>
      <c r="C134" s="35" t="s">
        <v>145</v>
      </c>
      <c r="D134" s="36" t="s">
        <v>417</v>
      </c>
      <c r="E134" s="81" t="s">
        <v>49</v>
      </c>
      <c r="F134" s="59">
        <v>970</v>
      </c>
      <c r="G134" s="35">
        <v>6</v>
      </c>
      <c r="H134">
        <v>3</v>
      </c>
      <c r="I134">
        <f>(11+13+11)/3*50*100</f>
        <v>58333.333333333328</v>
      </c>
    </row>
    <row r="135" spans="1:9" x14ac:dyDescent="0.25">
      <c r="A135">
        <v>3</v>
      </c>
      <c r="B135" t="str">
        <f t="shared" si="2"/>
        <v>ALPHA3</v>
      </c>
      <c r="C135" s="78" t="s">
        <v>586</v>
      </c>
      <c r="D135" s="36" t="s">
        <v>417</v>
      </c>
      <c r="E135" s="81" t="s">
        <v>60</v>
      </c>
      <c r="F135" s="59">
        <v>847</v>
      </c>
      <c r="G135" s="35">
        <v>6</v>
      </c>
      <c r="H135">
        <v>2.8</v>
      </c>
      <c r="I135">
        <f>(11+9+9)/3*50*100</f>
        <v>48333.333333333328</v>
      </c>
    </row>
    <row r="136" spans="1:9" x14ac:dyDescent="0.25">
      <c r="A136">
        <v>3</v>
      </c>
      <c r="B136" t="str">
        <f t="shared" si="2"/>
        <v>BETA3</v>
      </c>
      <c r="C136" s="78" t="s">
        <v>584</v>
      </c>
      <c r="D136" s="36" t="s">
        <v>417</v>
      </c>
      <c r="E136" s="81" t="s">
        <v>60</v>
      </c>
      <c r="F136" s="59">
        <v>777</v>
      </c>
      <c r="G136" s="35">
        <v>6</v>
      </c>
      <c r="H136">
        <v>2</v>
      </c>
      <c r="I136">
        <f>(2+9+8)/3*50*100</f>
        <v>31666.666666666664</v>
      </c>
    </row>
    <row r="137" spans="1:9" x14ac:dyDescent="0.25">
      <c r="A137">
        <v>3</v>
      </c>
      <c r="B137" t="str">
        <f t="shared" si="2"/>
        <v>I3</v>
      </c>
      <c r="C137" s="78" t="s">
        <v>56</v>
      </c>
      <c r="D137" s="36" t="s">
        <v>417</v>
      </c>
      <c r="E137" s="81" t="s">
        <v>49</v>
      </c>
      <c r="F137" s="59">
        <v>996</v>
      </c>
      <c r="G137" s="35">
        <v>6</v>
      </c>
      <c r="H137">
        <v>3.4</v>
      </c>
      <c r="I137">
        <f>(6+9+7)/3*50*100</f>
        <v>36666.666666666664</v>
      </c>
    </row>
    <row r="138" spans="1:9" x14ac:dyDescent="0.25">
      <c r="A138">
        <v>3</v>
      </c>
      <c r="B138" t="str">
        <f t="shared" si="2"/>
        <v>L3</v>
      </c>
      <c r="C138" s="78" t="s">
        <v>58</v>
      </c>
      <c r="D138" s="36" t="s">
        <v>417</v>
      </c>
      <c r="E138" s="81" t="s">
        <v>60</v>
      </c>
      <c r="F138" s="59">
        <v>1175</v>
      </c>
      <c r="G138" s="35">
        <v>6</v>
      </c>
      <c r="H138">
        <v>2.2999999999999998</v>
      </c>
      <c r="I138">
        <f>(18+18+20)/3*50*100</f>
        <v>93333.333333333343</v>
      </c>
    </row>
    <row r="139" spans="1:9" x14ac:dyDescent="0.25">
      <c r="A139">
        <v>3</v>
      </c>
      <c r="B139" t="str">
        <f t="shared" si="2"/>
        <v>Ø3</v>
      </c>
      <c r="C139" s="78" t="s">
        <v>175</v>
      </c>
      <c r="D139" s="36" t="s">
        <v>417</v>
      </c>
      <c r="E139" s="81" t="s">
        <v>49</v>
      </c>
      <c r="F139" s="59">
        <v>826</v>
      </c>
      <c r="G139" s="35">
        <v>6</v>
      </c>
      <c r="H139">
        <v>2.4</v>
      </c>
      <c r="I139">
        <f>(1+1+3)/3*50*1000</f>
        <v>83333.333333333343</v>
      </c>
    </row>
    <row r="140" spans="1:9" x14ac:dyDescent="0.25">
      <c r="A140">
        <v>1</v>
      </c>
      <c r="B140" t="str">
        <f t="shared" si="2"/>
        <v>B1</v>
      </c>
      <c r="C140" s="18" t="s">
        <v>39</v>
      </c>
      <c r="D140" s="5" t="s">
        <v>418</v>
      </c>
      <c r="E140" s="57" t="s">
        <v>49</v>
      </c>
      <c r="F140" s="60"/>
      <c r="G140">
        <v>12</v>
      </c>
      <c r="H140">
        <v>4.2</v>
      </c>
      <c r="I140">
        <f>((9+9+6)/3)*50*10</f>
        <v>4000</v>
      </c>
    </row>
    <row r="141" spans="1:9" x14ac:dyDescent="0.25">
      <c r="A141">
        <v>1</v>
      </c>
      <c r="B141" t="str">
        <f t="shared" si="2"/>
        <v>F1</v>
      </c>
      <c r="C141" s="18" t="s">
        <v>49</v>
      </c>
      <c r="D141" s="5" t="s">
        <v>418</v>
      </c>
      <c r="E141" s="57" t="s">
        <v>49</v>
      </c>
      <c r="F141" s="60"/>
      <c r="G141">
        <v>12</v>
      </c>
      <c r="H141">
        <v>31.2</v>
      </c>
      <c r="I141">
        <f>((2+2+4)/3)*50*100</f>
        <v>13333.333333333332</v>
      </c>
    </row>
    <row r="142" spans="1:9" x14ac:dyDescent="0.25">
      <c r="A142">
        <v>1</v>
      </c>
      <c r="B142" t="str">
        <f t="shared" si="2"/>
        <v>I1</v>
      </c>
      <c r="C142" s="18" t="s">
        <v>56</v>
      </c>
      <c r="D142" s="5" t="s">
        <v>418</v>
      </c>
      <c r="E142" s="57" t="s">
        <v>60</v>
      </c>
      <c r="F142" s="60"/>
      <c r="G142">
        <v>12</v>
      </c>
      <c r="H142">
        <v>12.3</v>
      </c>
      <c r="I142">
        <f>((14+3)/2)*50*10</f>
        <v>4250</v>
      </c>
    </row>
    <row r="143" spans="1:9" x14ac:dyDescent="0.25">
      <c r="A143">
        <v>1</v>
      </c>
      <c r="B143" t="str">
        <f t="shared" si="2"/>
        <v>N1</v>
      </c>
      <c r="C143" s="18" t="s">
        <v>62</v>
      </c>
      <c r="D143" s="5" t="s">
        <v>418</v>
      </c>
      <c r="E143" s="57" t="s">
        <v>60</v>
      </c>
      <c r="F143" s="60"/>
      <c r="G143">
        <v>12</v>
      </c>
      <c r="H143">
        <v>28</v>
      </c>
      <c r="I143">
        <f>((7+17)/2)*50*100</f>
        <v>60000</v>
      </c>
    </row>
    <row r="144" spans="1:9" x14ac:dyDescent="0.25">
      <c r="A144">
        <v>1</v>
      </c>
      <c r="B144" t="str">
        <f t="shared" si="2"/>
        <v>H1</v>
      </c>
      <c r="C144" s="4" t="s">
        <v>53</v>
      </c>
      <c r="D144" s="10" t="s">
        <v>421</v>
      </c>
      <c r="E144" s="88" t="s">
        <v>60</v>
      </c>
      <c r="F144" s="95"/>
      <c r="G144">
        <v>12</v>
      </c>
      <c r="H144">
        <v>7.8</v>
      </c>
    </row>
    <row r="145" spans="1:9" x14ac:dyDescent="0.25">
      <c r="A145">
        <v>1</v>
      </c>
      <c r="B145" t="str">
        <f t="shared" si="2"/>
        <v>L1</v>
      </c>
      <c r="C145" s="4" t="s">
        <v>58</v>
      </c>
      <c r="D145" s="10" t="s">
        <v>421</v>
      </c>
      <c r="E145" s="88" t="s">
        <v>49</v>
      </c>
      <c r="F145" s="95"/>
      <c r="G145">
        <v>12</v>
      </c>
      <c r="H145">
        <v>9.6</v>
      </c>
    </row>
    <row r="146" spans="1:9" x14ac:dyDescent="0.25">
      <c r="A146">
        <v>1</v>
      </c>
      <c r="B146" t="str">
        <f t="shared" si="2"/>
        <v>C1</v>
      </c>
      <c r="C146" s="17" t="s">
        <v>43</v>
      </c>
      <c r="D146" s="26" t="s">
        <v>419</v>
      </c>
      <c r="E146" s="85" t="s">
        <v>49</v>
      </c>
      <c r="F146" s="94"/>
      <c r="G146">
        <v>12</v>
      </c>
      <c r="H146">
        <v>2.1</v>
      </c>
      <c r="I146">
        <f>((12+8+15)/3)*50*10</f>
        <v>5833.3333333333321</v>
      </c>
    </row>
    <row r="147" spans="1:9" x14ac:dyDescent="0.25">
      <c r="A147">
        <v>1</v>
      </c>
      <c r="B147" t="str">
        <f t="shared" si="2"/>
        <v>E1</v>
      </c>
      <c r="C147" s="17" t="s">
        <v>47</v>
      </c>
      <c r="D147" s="26" t="s">
        <v>419</v>
      </c>
      <c r="E147" s="85" t="s">
        <v>60</v>
      </c>
      <c r="F147" s="94"/>
      <c r="G147">
        <v>12</v>
      </c>
      <c r="H147">
        <v>3.7</v>
      </c>
      <c r="I147">
        <f>((6+17)/3)*50*10</f>
        <v>3833.3333333333339</v>
      </c>
    </row>
    <row r="148" spans="1:9" x14ac:dyDescent="0.25">
      <c r="A148">
        <v>1</v>
      </c>
      <c r="B148" t="str">
        <f t="shared" si="2"/>
        <v>G1</v>
      </c>
      <c r="C148" s="17" t="s">
        <v>51</v>
      </c>
      <c r="D148" s="26" t="s">
        <v>419</v>
      </c>
      <c r="E148" s="85" t="s">
        <v>49</v>
      </c>
      <c r="F148" s="94"/>
      <c r="G148">
        <v>12</v>
      </c>
      <c r="H148">
        <v>2.6</v>
      </c>
      <c r="I148">
        <f>((16+16+3)/3)*50*10</f>
        <v>5833.3333333333321</v>
      </c>
    </row>
    <row r="149" spans="1:9" x14ac:dyDescent="0.25">
      <c r="A149">
        <v>1</v>
      </c>
      <c r="B149" t="str">
        <f t="shared" si="2"/>
        <v>O1</v>
      </c>
      <c r="C149" s="17" t="s">
        <v>64</v>
      </c>
      <c r="D149" s="26" t="s">
        <v>419</v>
      </c>
      <c r="E149" s="85" t="s">
        <v>60</v>
      </c>
      <c r="F149" s="94"/>
      <c r="G149">
        <v>12</v>
      </c>
      <c r="H149">
        <v>4.8</v>
      </c>
      <c r="I149">
        <f>(18*50*10)</f>
        <v>9000</v>
      </c>
    </row>
    <row r="150" spans="1:9" x14ac:dyDescent="0.25">
      <c r="A150">
        <v>1</v>
      </c>
      <c r="B150" t="str">
        <f t="shared" si="2"/>
        <v>K1</v>
      </c>
      <c r="C150" s="3" t="s">
        <v>82</v>
      </c>
      <c r="D150" s="9" t="s">
        <v>420</v>
      </c>
      <c r="E150" s="89" t="s">
        <v>60</v>
      </c>
      <c r="F150" s="96"/>
      <c r="G150">
        <v>12</v>
      </c>
      <c r="H150">
        <v>2.9</v>
      </c>
    </row>
    <row r="151" spans="1:9" x14ac:dyDescent="0.25">
      <c r="A151">
        <v>1</v>
      </c>
      <c r="B151" t="str">
        <f t="shared" si="2"/>
        <v>S1</v>
      </c>
      <c r="C151" s="3" t="s">
        <v>70</v>
      </c>
      <c r="D151" s="9" t="s">
        <v>420</v>
      </c>
      <c r="E151" s="87" t="s">
        <v>49</v>
      </c>
      <c r="F151" s="62"/>
      <c r="G151">
        <v>12</v>
      </c>
      <c r="H151">
        <v>2.7</v>
      </c>
    </row>
    <row r="152" spans="1:9" x14ac:dyDescent="0.25">
      <c r="A152">
        <v>1</v>
      </c>
      <c r="B152" t="str">
        <f t="shared" si="2"/>
        <v>J1</v>
      </c>
      <c r="C152" s="15" t="s">
        <v>80</v>
      </c>
      <c r="D152" s="36" t="s">
        <v>417</v>
      </c>
      <c r="E152" s="81" t="s">
        <v>60</v>
      </c>
      <c r="F152" s="59"/>
      <c r="G152">
        <v>12</v>
      </c>
      <c r="H152">
        <v>7.5</v>
      </c>
      <c r="I152">
        <f>((16+13+22)/3)*50*10</f>
        <v>8500</v>
      </c>
    </row>
    <row r="153" spans="1:9" x14ac:dyDescent="0.25">
      <c r="A153">
        <v>1</v>
      </c>
      <c r="B153" t="str">
        <f t="shared" si="2"/>
        <v>M1</v>
      </c>
      <c r="C153" s="15" t="s">
        <v>60</v>
      </c>
      <c r="D153" s="36" t="s">
        <v>417</v>
      </c>
      <c r="E153" s="81" t="s">
        <v>49</v>
      </c>
      <c r="F153" s="59"/>
      <c r="G153">
        <v>12</v>
      </c>
      <c r="H153">
        <v>2.2999999999999998</v>
      </c>
      <c r="I153">
        <f>((17+11)/2)*50*10</f>
        <v>7000</v>
      </c>
    </row>
    <row r="154" spans="1:9" x14ac:dyDescent="0.25">
      <c r="A154">
        <v>1</v>
      </c>
      <c r="B154" t="str">
        <f t="shared" si="2"/>
        <v>P1</v>
      </c>
      <c r="C154" s="15" t="s">
        <v>66</v>
      </c>
      <c r="D154" s="36" t="s">
        <v>417</v>
      </c>
      <c r="E154" s="81" t="s">
        <v>60</v>
      </c>
      <c r="F154" s="59"/>
      <c r="G154">
        <v>12</v>
      </c>
    </row>
    <row r="155" spans="1:9" x14ac:dyDescent="0.25">
      <c r="A155">
        <v>1</v>
      </c>
      <c r="B155" t="str">
        <f t="shared" si="2"/>
        <v>R1</v>
      </c>
      <c r="C155" s="15" t="s">
        <v>68</v>
      </c>
      <c r="D155" s="36" t="s">
        <v>417</v>
      </c>
      <c r="E155" s="81" t="s">
        <v>49</v>
      </c>
      <c r="F155" s="59"/>
      <c r="G155">
        <v>12</v>
      </c>
      <c r="H155">
        <v>2.8</v>
      </c>
      <c r="I155">
        <f>((17+27)/2)*50*10</f>
        <v>11000</v>
      </c>
    </row>
    <row r="156" spans="1:9" x14ac:dyDescent="0.25">
      <c r="A156">
        <v>2</v>
      </c>
      <c r="B156" t="str">
        <f t="shared" si="2"/>
        <v>F2</v>
      </c>
      <c r="C156" s="18" t="s">
        <v>49</v>
      </c>
      <c r="D156" s="5" t="s">
        <v>418</v>
      </c>
      <c r="E156" s="39" t="s">
        <v>60</v>
      </c>
      <c r="F156" s="40">
        <v>1189</v>
      </c>
      <c r="G156" s="35">
        <v>12</v>
      </c>
      <c r="H156">
        <v>25.2</v>
      </c>
      <c r="I156">
        <f>(10+9+10)/3*50*100</f>
        <v>48333.333333333328</v>
      </c>
    </row>
    <row r="157" spans="1:9" x14ac:dyDescent="0.25">
      <c r="A157">
        <v>2</v>
      </c>
      <c r="B157" t="str">
        <f t="shared" si="2"/>
        <v>H2</v>
      </c>
      <c r="C157" s="18" t="s">
        <v>53</v>
      </c>
      <c r="D157" s="5" t="s">
        <v>418</v>
      </c>
      <c r="E157" s="39" t="s">
        <v>60</v>
      </c>
      <c r="F157" s="40">
        <v>1243</v>
      </c>
      <c r="G157" s="35">
        <v>12</v>
      </c>
      <c r="H157">
        <v>35</v>
      </c>
    </row>
    <row r="158" spans="1:9" x14ac:dyDescent="0.25">
      <c r="A158">
        <v>2</v>
      </c>
      <c r="B158" t="str">
        <f t="shared" si="2"/>
        <v>N2</v>
      </c>
      <c r="C158" s="18" t="s">
        <v>62</v>
      </c>
      <c r="D158" s="5" t="s">
        <v>418</v>
      </c>
      <c r="E158" s="39" t="s">
        <v>60</v>
      </c>
      <c r="F158" s="40">
        <v>791</v>
      </c>
      <c r="G158" s="35">
        <v>12</v>
      </c>
      <c r="H158">
        <v>25.7</v>
      </c>
      <c r="I158">
        <f>(4+2+2)/3*50*1000</f>
        <v>133333.33333333331</v>
      </c>
    </row>
    <row r="159" spans="1:9" x14ac:dyDescent="0.25">
      <c r="A159">
        <v>2</v>
      </c>
      <c r="B159" t="str">
        <f t="shared" si="2"/>
        <v>Q2</v>
      </c>
      <c r="C159" s="18" t="s">
        <v>385</v>
      </c>
      <c r="D159" s="5" t="s">
        <v>418</v>
      </c>
      <c r="E159" s="39" t="s">
        <v>49</v>
      </c>
      <c r="F159" s="40">
        <v>793.5</v>
      </c>
      <c r="G159" s="35">
        <v>12</v>
      </c>
      <c r="H159">
        <v>6.5</v>
      </c>
      <c r="I159">
        <f>(16+19+18)/3*50*10</f>
        <v>8833.3333333333339</v>
      </c>
    </row>
    <row r="160" spans="1:9" x14ac:dyDescent="0.25">
      <c r="A160">
        <v>2</v>
      </c>
      <c r="B160" t="str">
        <f t="shared" si="2"/>
        <v>R2</v>
      </c>
      <c r="C160" s="18" t="s">
        <v>68</v>
      </c>
      <c r="D160" s="5" t="s">
        <v>418</v>
      </c>
      <c r="E160" s="39" t="s">
        <v>49</v>
      </c>
      <c r="F160" s="40">
        <v>1303</v>
      </c>
      <c r="G160" s="35">
        <v>12</v>
      </c>
      <c r="H160">
        <v>12.7</v>
      </c>
      <c r="I160">
        <f>(2*50*1000)</f>
        <v>100000</v>
      </c>
    </row>
    <row r="161" spans="1:9" x14ac:dyDescent="0.25">
      <c r="A161">
        <v>2</v>
      </c>
      <c r="B161" t="str">
        <f t="shared" si="2"/>
        <v>Y2</v>
      </c>
      <c r="C161" s="18" t="s">
        <v>384</v>
      </c>
      <c r="D161" s="5" t="s">
        <v>418</v>
      </c>
      <c r="E161" s="39" t="s">
        <v>60</v>
      </c>
      <c r="F161" s="40">
        <v>1340.4</v>
      </c>
      <c r="G161" s="35">
        <v>12</v>
      </c>
      <c r="H161">
        <v>6.8</v>
      </c>
      <c r="I161">
        <f>(1+3+5)/3*50*1000</f>
        <v>150000</v>
      </c>
    </row>
    <row r="162" spans="1:9" x14ac:dyDescent="0.25">
      <c r="A162">
        <v>2</v>
      </c>
      <c r="B162" t="str">
        <f t="shared" si="2"/>
        <v>G2</v>
      </c>
      <c r="C162" s="4" t="s">
        <v>51</v>
      </c>
      <c r="D162" s="10" t="s">
        <v>421</v>
      </c>
      <c r="E162" s="43" t="s">
        <v>49</v>
      </c>
      <c r="F162" s="44">
        <v>1387</v>
      </c>
      <c r="G162" s="35">
        <v>12</v>
      </c>
      <c r="H162">
        <v>14.4</v>
      </c>
    </row>
    <row r="163" spans="1:9" x14ac:dyDescent="0.25">
      <c r="A163">
        <v>2</v>
      </c>
      <c r="B163" t="str">
        <f t="shared" si="2"/>
        <v>I2</v>
      </c>
      <c r="C163" s="4" t="s">
        <v>56</v>
      </c>
      <c r="D163" s="10" t="s">
        <v>421</v>
      </c>
      <c r="E163" s="43" t="s">
        <v>60</v>
      </c>
      <c r="F163" s="44">
        <v>1015.2</v>
      </c>
      <c r="G163" s="35">
        <v>12</v>
      </c>
      <c r="H163">
        <v>11.3</v>
      </c>
    </row>
    <row r="164" spans="1:9" x14ac:dyDescent="0.25">
      <c r="A164">
        <v>2</v>
      </c>
      <c r="B164" t="str">
        <f t="shared" si="2"/>
        <v>T2</v>
      </c>
      <c r="C164" s="4" t="s">
        <v>386</v>
      </c>
      <c r="D164" s="10" t="s">
        <v>421</v>
      </c>
      <c r="E164" s="43" t="s">
        <v>60</v>
      </c>
      <c r="F164" s="44">
        <v>1193</v>
      </c>
      <c r="G164" s="35">
        <v>12</v>
      </c>
      <c r="H164">
        <v>20.100000000000001</v>
      </c>
    </row>
    <row r="165" spans="1:9" x14ac:dyDescent="0.25">
      <c r="A165">
        <v>2</v>
      </c>
      <c r="B165" t="str">
        <f t="shared" si="2"/>
        <v>Å2</v>
      </c>
      <c r="C165" s="17" t="s">
        <v>145</v>
      </c>
      <c r="D165" s="26" t="s">
        <v>419</v>
      </c>
      <c r="E165" s="37" t="s">
        <v>60</v>
      </c>
      <c r="F165" s="38">
        <v>902</v>
      </c>
      <c r="G165" s="35">
        <v>12</v>
      </c>
      <c r="H165">
        <v>2.8</v>
      </c>
      <c r="I165">
        <f>(3+1+1)/3*50*100</f>
        <v>8333.3333333333339</v>
      </c>
    </row>
    <row r="166" spans="1:9" x14ac:dyDescent="0.25">
      <c r="A166">
        <v>2</v>
      </c>
      <c r="B166" t="str">
        <f t="shared" si="2"/>
        <v>D2</v>
      </c>
      <c r="C166" s="17" t="s">
        <v>45</v>
      </c>
      <c r="D166" s="26" t="s">
        <v>419</v>
      </c>
      <c r="E166" s="37" t="s">
        <v>49</v>
      </c>
      <c r="F166" s="38">
        <v>1041</v>
      </c>
      <c r="G166" s="35">
        <v>12</v>
      </c>
      <c r="H166">
        <v>3.3</v>
      </c>
      <c r="I166">
        <f>(3+8+5)/3*50*10</f>
        <v>2666.6666666666661</v>
      </c>
    </row>
    <row r="167" spans="1:9" x14ac:dyDescent="0.25">
      <c r="A167">
        <v>2</v>
      </c>
      <c r="B167" t="str">
        <f t="shared" si="2"/>
        <v>E2</v>
      </c>
      <c r="C167" s="17" t="s">
        <v>47</v>
      </c>
      <c r="D167" s="26" t="s">
        <v>419</v>
      </c>
      <c r="E167" s="37" t="s">
        <v>49</v>
      </c>
      <c r="F167" s="38">
        <v>1260.5999999999999</v>
      </c>
      <c r="G167" s="35">
        <v>12</v>
      </c>
      <c r="H167">
        <v>2.2000000000000002</v>
      </c>
      <c r="I167">
        <f>(6+4+10)/3*50*10</f>
        <v>3333.3333333333339</v>
      </c>
    </row>
    <row r="168" spans="1:9" x14ac:dyDescent="0.25">
      <c r="A168">
        <v>2</v>
      </c>
      <c r="B168" t="str">
        <f t="shared" si="2"/>
        <v>K2</v>
      </c>
      <c r="C168" s="17" t="s">
        <v>82</v>
      </c>
      <c r="D168" s="26" t="s">
        <v>419</v>
      </c>
      <c r="E168" s="37" t="s">
        <v>60</v>
      </c>
      <c r="F168" s="38">
        <v>1405</v>
      </c>
      <c r="G168" s="35">
        <v>12</v>
      </c>
      <c r="H168">
        <v>1.9</v>
      </c>
      <c r="I168">
        <f>(2+1+2)/3*50*100</f>
        <v>8333.3333333333339</v>
      </c>
    </row>
    <row r="169" spans="1:9" x14ac:dyDescent="0.25">
      <c r="A169">
        <v>2</v>
      </c>
      <c r="B169" t="str">
        <f t="shared" si="2"/>
        <v>U2</v>
      </c>
      <c r="C169" s="17" t="s">
        <v>388</v>
      </c>
      <c r="D169" s="26" t="s">
        <v>419</v>
      </c>
      <c r="E169" s="37" t="s">
        <v>60</v>
      </c>
      <c r="F169" s="38">
        <v>741.5</v>
      </c>
      <c r="G169" s="35">
        <v>12</v>
      </c>
      <c r="H169">
        <v>2.7</v>
      </c>
      <c r="I169">
        <f>(5+1+5)/3*50*100</f>
        <v>18333.333333333332</v>
      </c>
    </row>
    <row r="170" spans="1:9" x14ac:dyDescent="0.25">
      <c r="A170">
        <v>2</v>
      </c>
      <c r="B170" t="str">
        <f t="shared" si="2"/>
        <v>V2</v>
      </c>
      <c r="C170" s="17" t="s">
        <v>389</v>
      </c>
      <c r="D170" s="26" t="s">
        <v>419</v>
      </c>
      <c r="E170" s="37" t="s">
        <v>60</v>
      </c>
      <c r="F170" s="38">
        <v>1281</v>
      </c>
      <c r="G170" s="35">
        <v>12</v>
      </c>
      <c r="H170">
        <v>4.3</v>
      </c>
      <c r="I170">
        <f>(3+2+3)/3*50*100</f>
        <v>13333.333333333332</v>
      </c>
    </row>
    <row r="171" spans="1:9" x14ac:dyDescent="0.25">
      <c r="A171">
        <v>2</v>
      </c>
      <c r="B171" t="str">
        <f t="shared" si="2"/>
        <v>X2</v>
      </c>
      <c r="C171" s="17" t="s">
        <v>390</v>
      </c>
      <c r="D171" s="26" t="s">
        <v>419</v>
      </c>
      <c r="E171" s="37" t="s">
        <v>60</v>
      </c>
      <c r="F171" s="38">
        <v>1111</v>
      </c>
      <c r="G171" s="35">
        <v>12</v>
      </c>
      <c r="H171">
        <v>3.1</v>
      </c>
      <c r="I171">
        <f>(1+3+1)/3*50*10</f>
        <v>833.33333333333348</v>
      </c>
    </row>
    <row r="172" spans="1:9" x14ac:dyDescent="0.25">
      <c r="A172">
        <v>2</v>
      </c>
      <c r="B172" t="str">
        <f t="shared" si="2"/>
        <v>L2</v>
      </c>
      <c r="C172" s="3" t="s">
        <v>58</v>
      </c>
      <c r="D172" s="9" t="s">
        <v>420</v>
      </c>
      <c r="E172" s="41" t="s">
        <v>60</v>
      </c>
      <c r="F172" s="42">
        <v>1202.8</v>
      </c>
      <c r="G172" s="35">
        <v>12</v>
      </c>
      <c r="H172">
        <v>3.5</v>
      </c>
    </row>
    <row r="173" spans="1:9" x14ac:dyDescent="0.25">
      <c r="A173">
        <v>2</v>
      </c>
      <c r="B173" t="str">
        <f t="shared" si="2"/>
        <v>O2</v>
      </c>
      <c r="C173" s="3" t="s">
        <v>64</v>
      </c>
      <c r="D173" s="9" t="s">
        <v>420</v>
      </c>
      <c r="E173" s="41" t="s">
        <v>60</v>
      </c>
      <c r="F173" s="42">
        <v>1031</v>
      </c>
      <c r="G173" s="35">
        <v>12</v>
      </c>
      <c r="H173">
        <v>4</v>
      </c>
    </row>
    <row r="174" spans="1:9" x14ac:dyDescent="0.25">
      <c r="A174">
        <v>2</v>
      </c>
      <c r="B174" t="str">
        <f t="shared" si="2"/>
        <v>Ø2</v>
      </c>
      <c r="C174" s="3" t="s">
        <v>175</v>
      </c>
      <c r="D174" s="9" t="s">
        <v>420</v>
      </c>
      <c r="E174" s="41" t="s">
        <v>49</v>
      </c>
      <c r="F174" s="42">
        <v>1275</v>
      </c>
      <c r="G174" s="35">
        <v>12</v>
      </c>
      <c r="H174">
        <v>3.9</v>
      </c>
    </row>
    <row r="175" spans="1:9" x14ac:dyDescent="0.25">
      <c r="A175">
        <v>2</v>
      </c>
      <c r="B175" t="str">
        <f t="shared" si="2"/>
        <v>A2</v>
      </c>
      <c r="C175" s="15" t="s">
        <v>36</v>
      </c>
      <c r="D175" s="36" t="s">
        <v>417</v>
      </c>
      <c r="E175" s="45" t="s">
        <v>60</v>
      </c>
      <c r="F175" s="46">
        <v>1210</v>
      </c>
      <c r="G175" s="35">
        <v>12</v>
      </c>
      <c r="H175">
        <v>2.2999999999999998</v>
      </c>
      <c r="I175">
        <f>(1+1+4)/3*50*1000</f>
        <v>100000</v>
      </c>
    </row>
    <row r="176" spans="1:9" x14ac:dyDescent="0.25">
      <c r="A176">
        <v>2</v>
      </c>
      <c r="B176" t="str">
        <f t="shared" si="2"/>
        <v>Æ2</v>
      </c>
      <c r="C176" s="15" t="s">
        <v>202</v>
      </c>
      <c r="D176" s="36" t="s">
        <v>417</v>
      </c>
      <c r="E176" s="45" t="s">
        <v>60</v>
      </c>
      <c r="F176" s="46">
        <v>1180.8</v>
      </c>
      <c r="G176" s="35">
        <v>12</v>
      </c>
      <c r="H176">
        <v>4.5999999999999996</v>
      </c>
      <c r="I176">
        <f>(7+2+9)/3*50*100</f>
        <v>30000</v>
      </c>
    </row>
    <row r="177" spans="1:9" x14ac:dyDescent="0.25">
      <c r="A177">
        <v>2</v>
      </c>
      <c r="B177" t="str">
        <f t="shared" si="2"/>
        <v>B2</v>
      </c>
      <c r="C177" s="15" t="s">
        <v>39</v>
      </c>
      <c r="D177" s="36" t="s">
        <v>417</v>
      </c>
      <c r="E177" s="45" t="s">
        <v>49</v>
      </c>
      <c r="F177" s="46">
        <v>1015</v>
      </c>
      <c r="G177" s="35">
        <v>12</v>
      </c>
      <c r="H177">
        <v>3.4</v>
      </c>
      <c r="I177">
        <f>(17+12+15)*50/3*10</f>
        <v>7333.3333333333339</v>
      </c>
    </row>
    <row r="178" spans="1:9" x14ac:dyDescent="0.25">
      <c r="A178">
        <v>2</v>
      </c>
      <c r="B178" t="str">
        <f t="shared" si="2"/>
        <v>C2</v>
      </c>
      <c r="C178" s="24" t="s">
        <v>43</v>
      </c>
      <c r="D178" s="36" t="s">
        <v>417</v>
      </c>
      <c r="E178" s="83" t="s">
        <v>49</v>
      </c>
      <c r="F178" s="83">
        <v>1210</v>
      </c>
      <c r="G178" s="35">
        <v>12</v>
      </c>
      <c r="H178">
        <v>3.4</v>
      </c>
      <c r="I178">
        <f>(6+9+6)/3*50*100</f>
        <v>35000</v>
      </c>
    </row>
    <row r="179" spans="1:9" x14ac:dyDescent="0.25">
      <c r="A179">
        <v>2</v>
      </c>
      <c r="B179" t="str">
        <f t="shared" si="2"/>
        <v>J2</v>
      </c>
      <c r="C179" s="24" t="s">
        <v>80</v>
      </c>
      <c r="D179" s="36" t="s">
        <v>417</v>
      </c>
      <c r="E179" s="83" t="s">
        <v>49</v>
      </c>
      <c r="F179" s="83">
        <v>678</v>
      </c>
      <c r="G179" s="35">
        <v>12</v>
      </c>
      <c r="H179">
        <v>1.7</v>
      </c>
      <c r="I179">
        <f>17*50*10</f>
        <v>8500</v>
      </c>
    </row>
    <row r="180" spans="1:9" x14ac:dyDescent="0.25">
      <c r="A180">
        <v>2</v>
      </c>
      <c r="B180" t="str">
        <f t="shared" si="2"/>
        <v>M2</v>
      </c>
      <c r="C180" s="24" t="s">
        <v>60</v>
      </c>
      <c r="D180" s="36" t="s">
        <v>417</v>
      </c>
      <c r="E180" s="83" t="s">
        <v>60</v>
      </c>
      <c r="F180" s="83">
        <v>1261</v>
      </c>
      <c r="G180" s="35">
        <v>12</v>
      </c>
      <c r="H180">
        <v>3.9</v>
      </c>
      <c r="I180">
        <f>2*50*100</f>
        <v>10000</v>
      </c>
    </row>
    <row r="181" spans="1:9" x14ac:dyDescent="0.25">
      <c r="A181">
        <v>2</v>
      </c>
      <c r="B181" t="str">
        <f t="shared" si="2"/>
        <v>P2</v>
      </c>
      <c r="C181" s="24" t="s">
        <v>66</v>
      </c>
      <c r="D181" s="36" t="s">
        <v>417</v>
      </c>
      <c r="E181" s="83" t="s">
        <v>49</v>
      </c>
      <c r="F181" s="83">
        <v>1098.7</v>
      </c>
      <c r="G181" s="35">
        <v>12</v>
      </c>
      <c r="H181">
        <v>2.9</v>
      </c>
    </row>
    <row r="182" spans="1:9" x14ac:dyDescent="0.25">
      <c r="A182">
        <v>2</v>
      </c>
      <c r="B182" t="str">
        <f t="shared" si="2"/>
        <v>S2</v>
      </c>
      <c r="C182" s="24" t="s">
        <v>70</v>
      </c>
      <c r="D182" s="36" t="s">
        <v>417</v>
      </c>
      <c r="E182" s="83" t="s">
        <v>60</v>
      </c>
      <c r="F182" s="83">
        <v>1327</v>
      </c>
      <c r="G182" s="35">
        <v>12</v>
      </c>
      <c r="H182">
        <v>2.6</v>
      </c>
      <c r="I182">
        <f>(6+5+3)/3*50*100</f>
        <v>23333.333333333336</v>
      </c>
    </row>
    <row r="183" spans="1:9" x14ac:dyDescent="0.25">
      <c r="A183">
        <v>2</v>
      </c>
      <c r="B183" t="str">
        <f t="shared" si="2"/>
        <v>Z2</v>
      </c>
      <c r="C183" s="24" t="s">
        <v>387</v>
      </c>
      <c r="D183" s="36" t="s">
        <v>417</v>
      </c>
      <c r="E183" s="83" t="s">
        <v>49</v>
      </c>
      <c r="F183" s="83">
        <v>1270</v>
      </c>
      <c r="G183" s="35">
        <v>12</v>
      </c>
      <c r="H183">
        <v>1.9</v>
      </c>
      <c r="I183">
        <f>(15+21+15)/3*50*10</f>
        <v>8500</v>
      </c>
    </row>
    <row r="184" spans="1:9" x14ac:dyDescent="0.25">
      <c r="A184">
        <v>3</v>
      </c>
      <c r="B184" t="str">
        <f t="shared" si="2"/>
        <v>A3</v>
      </c>
      <c r="C184" s="35" t="s">
        <v>36</v>
      </c>
      <c r="D184" s="5" t="s">
        <v>418</v>
      </c>
      <c r="E184" s="5" t="s">
        <v>49</v>
      </c>
      <c r="F184" s="5">
        <v>725</v>
      </c>
      <c r="G184" s="35">
        <v>12</v>
      </c>
      <c r="H184">
        <v>26.2</v>
      </c>
      <c r="I184">
        <f>(4+8+3)/3*50*100</f>
        <v>25000</v>
      </c>
    </row>
    <row r="185" spans="1:9" x14ac:dyDescent="0.25">
      <c r="A185">
        <v>3</v>
      </c>
      <c r="B185" t="str">
        <f t="shared" si="2"/>
        <v>B3</v>
      </c>
      <c r="C185" s="35" t="s">
        <v>39</v>
      </c>
      <c r="D185" s="5" t="s">
        <v>418</v>
      </c>
      <c r="E185" s="5" t="s">
        <v>49</v>
      </c>
      <c r="F185" s="5">
        <v>794</v>
      </c>
      <c r="G185" s="35">
        <v>12</v>
      </c>
      <c r="I185">
        <f>(9+10+11)/3*50*100</f>
        <v>50000</v>
      </c>
    </row>
    <row r="186" spans="1:9" x14ac:dyDescent="0.25">
      <c r="A186">
        <v>3</v>
      </c>
      <c r="B186" t="str">
        <f t="shared" si="2"/>
        <v>D3</v>
      </c>
      <c r="C186" s="35" t="s">
        <v>45</v>
      </c>
      <c r="D186" s="5" t="s">
        <v>418</v>
      </c>
      <c r="E186" s="5" t="s">
        <v>60</v>
      </c>
      <c r="F186" s="5">
        <v>949.7</v>
      </c>
      <c r="G186" s="35">
        <v>12</v>
      </c>
      <c r="H186">
        <v>32.9</v>
      </c>
      <c r="I186">
        <f>(9+12+11)/3*50*100</f>
        <v>53333.333333333328</v>
      </c>
    </row>
    <row r="187" spans="1:9" x14ac:dyDescent="0.25">
      <c r="A187">
        <v>3</v>
      </c>
      <c r="B187" t="str">
        <f t="shared" si="2"/>
        <v>GAMMA3</v>
      </c>
      <c r="C187" s="35" t="s">
        <v>585</v>
      </c>
      <c r="D187" s="5" t="s">
        <v>418</v>
      </c>
      <c r="E187" s="5" t="s">
        <v>60</v>
      </c>
      <c r="F187" s="5">
        <v>1159</v>
      </c>
      <c r="G187" s="35">
        <v>12</v>
      </c>
      <c r="H187">
        <v>27.6</v>
      </c>
      <c r="I187">
        <f>(16+14+11)/3*50*100</f>
        <v>68333.333333333328</v>
      </c>
    </row>
    <row r="188" spans="1:9" x14ac:dyDescent="0.25">
      <c r="A188">
        <v>3</v>
      </c>
      <c r="B188" t="str">
        <f t="shared" si="2"/>
        <v>H3</v>
      </c>
      <c r="C188" s="35" t="s">
        <v>53</v>
      </c>
      <c r="D188" s="5" t="s">
        <v>418</v>
      </c>
      <c r="E188" s="5" t="s">
        <v>49</v>
      </c>
      <c r="F188" s="5">
        <v>1104</v>
      </c>
      <c r="G188" s="35">
        <v>12</v>
      </c>
      <c r="H188">
        <v>35</v>
      </c>
      <c r="I188">
        <f>(13+6)/2*50*1000</f>
        <v>475000</v>
      </c>
    </row>
    <row r="189" spans="1:9" x14ac:dyDescent="0.25">
      <c r="A189">
        <v>3</v>
      </c>
      <c r="B189" t="str">
        <f t="shared" si="2"/>
        <v>J3</v>
      </c>
      <c r="C189" s="35" t="s">
        <v>80</v>
      </c>
      <c r="D189" s="5" t="s">
        <v>418</v>
      </c>
      <c r="E189" s="5" t="s">
        <v>60</v>
      </c>
      <c r="F189" s="5">
        <v>885</v>
      </c>
      <c r="G189" s="35">
        <v>12</v>
      </c>
      <c r="H189">
        <v>28</v>
      </c>
      <c r="I189">
        <f>(33+38+41)/3*50*1000</f>
        <v>1866666.6666666667</v>
      </c>
    </row>
    <row r="190" spans="1:9" x14ac:dyDescent="0.25">
      <c r="A190">
        <v>3</v>
      </c>
      <c r="B190" t="str">
        <f t="shared" si="2"/>
        <v>Æ3</v>
      </c>
      <c r="C190" s="35" t="s">
        <v>202</v>
      </c>
      <c r="D190" s="10" t="s">
        <v>421</v>
      </c>
      <c r="E190" s="53" t="s">
        <v>49</v>
      </c>
      <c r="F190" s="53">
        <v>908</v>
      </c>
      <c r="G190" s="35">
        <v>12</v>
      </c>
      <c r="H190">
        <v>15</v>
      </c>
    </row>
    <row r="191" spans="1:9" x14ac:dyDescent="0.25">
      <c r="A191">
        <v>3</v>
      </c>
      <c r="B191" t="str">
        <f t="shared" si="2"/>
        <v>K3</v>
      </c>
      <c r="C191" s="35" t="s">
        <v>82</v>
      </c>
      <c r="D191" s="10" t="s">
        <v>421</v>
      </c>
      <c r="E191" s="53" t="s">
        <v>49</v>
      </c>
      <c r="F191" s="53">
        <v>984</v>
      </c>
      <c r="G191" s="35">
        <v>12</v>
      </c>
      <c r="H191">
        <v>21</v>
      </c>
    </row>
    <row r="192" spans="1:9" x14ac:dyDescent="0.25">
      <c r="A192">
        <v>3</v>
      </c>
      <c r="B192" t="str">
        <f t="shared" si="2"/>
        <v>Q3</v>
      </c>
      <c r="C192" s="35" t="s">
        <v>385</v>
      </c>
      <c r="D192" s="10" t="s">
        <v>421</v>
      </c>
      <c r="E192" s="53" t="s">
        <v>60</v>
      </c>
      <c r="F192" s="53">
        <v>676</v>
      </c>
      <c r="G192" s="35">
        <v>12</v>
      </c>
      <c r="H192">
        <v>18.3</v>
      </c>
    </row>
    <row r="193" spans="1:9" x14ac:dyDescent="0.25">
      <c r="A193">
        <v>3</v>
      </c>
      <c r="B193" t="str">
        <f t="shared" si="2"/>
        <v>N3</v>
      </c>
      <c r="C193" s="35" t="s">
        <v>62</v>
      </c>
      <c r="D193" s="26" t="s">
        <v>419</v>
      </c>
      <c r="E193" s="26" t="s">
        <v>60</v>
      </c>
      <c r="F193" s="26">
        <v>1219</v>
      </c>
      <c r="G193" s="35">
        <v>12</v>
      </c>
      <c r="H193">
        <v>4.4000000000000004</v>
      </c>
      <c r="I193">
        <f>(5+3+2)/3*50*1000</f>
        <v>166666.66666666669</v>
      </c>
    </row>
    <row r="194" spans="1:9" x14ac:dyDescent="0.25">
      <c r="A194">
        <v>3</v>
      </c>
      <c r="B194" t="str">
        <f t="shared" ref="B194:B257" si="3">C194&amp;A194</f>
        <v>O3</v>
      </c>
      <c r="C194" s="35" t="s">
        <v>64</v>
      </c>
      <c r="D194" s="26" t="s">
        <v>419</v>
      </c>
      <c r="E194" s="26" t="s">
        <v>49</v>
      </c>
      <c r="F194" s="26">
        <v>849</v>
      </c>
      <c r="G194" s="35">
        <v>12</v>
      </c>
      <c r="H194">
        <v>3.4</v>
      </c>
    </row>
    <row r="195" spans="1:9" x14ac:dyDescent="0.25">
      <c r="A195">
        <v>3</v>
      </c>
      <c r="B195" t="str">
        <f t="shared" si="3"/>
        <v>T3</v>
      </c>
      <c r="C195" s="35" t="s">
        <v>386</v>
      </c>
      <c r="D195" s="26" t="s">
        <v>419</v>
      </c>
      <c r="E195" s="26" t="s">
        <v>60</v>
      </c>
      <c r="F195" s="26">
        <v>1017</v>
      </c>
      <c r="G195" s="35">
        <v>12</v>
      </c>
      <c r="I195">
        <f>(7+10+12)/3*50*100</f>
        <v>48333.333333333328</v>
      </c>
    </row>
    <row r="196" spans="1:9" x14ac:dyDescent="0.25">
      <c r="A196">
        <v>3</v>
      </c>
      <c r="B196" t="str">
        <f t="shared" si="3"/>
        <v>U3</v>
      </c>
      <c r="C196" s="35" t="s">
        <v>388</v>
      </c>
      <c r="D196" s="26" t="s">
        <v>419</v>
      </c>
      <c r="E196" s="26" t="s">
        <v>49</v>
      </c>
      <c r="F196" s="26">
        <v>909</v>
      </c>
      <c r="G196" s="35">
        <v>12</v>
      </c>
      <c r="I196">
        <f>(8+9+15)/3*50*100</f>
        <v>53333.333333333328</v>
      </c>
    </row>
    <row r="197" spans="1:9" x14ac:dyDescent="0.25">
      <c r="A197">
        <v>3</v>
      </c>
      <c r="B197" t="str">
        <f t="shared" si="3"/>
        <v>V3</v>
      </c>
      <c r="C197" s="35" t="s">
        <v>389</v>
      </c>
      <c r="D197" s="26" t="s">
        <v>419</v>
      </c>
      <c r="E197" s="26" t="s">
        <v>49</v>
      </c>
      <c r="F197" s="26">
        <v>795</v>
      </c>
      <c r="G197" s="35">
        <v>12</v>
      </c>
      <c r="H197">
        <v>2.7</v>
      </c>
      <c r="I197">
        <f>(2*50*100)</f>
        <v>10000</v>
      </c>
    </row>
    <row r="198" spans="1:9" x14ac:dyDescent="0.25">
      <c r="A198">
        <v>3</v>
      </c>
      <c r="B198" t="str">
        <f t="shared" si="3"/>
        <v>Y3</v>
      </c>
      <c r="C198" s="35" t="s">
        <v>384</v>
      </c>
      <c r="D198" s="26" t="s">
        <v>419</v>
      </c>
      <c r="E198" s="26" t="s">
        <v>49</v>
      </c>
      <c r="F198" s="26">
        <v>702</v>
      </c>
      <c r="G198" s="35">
        <v>12</v>
      </c>
      <c r="H198">
        <v>1.5</v>
      </c>
      <c r="I198">
        <f>2*50*10</f>
        <v>1000</v>
      </c>
    </row>
    <row r="199" spans="1:9" x14ac:dyDescent="0.25">
      <c r="A199">
        <v>3</v>
      </c>
      <c r="B199" t="str">
        <f t="shared" si="3"/>
        <v>G3</v>
      </c>
      <c r="C199" s="35" t="s">
        <v>51</v>
      </c>
      <c r="D199" s="51" t="s">
        <v>420</v>
      </c>
      <c r="E199" s="51" t="s">
        <v>49</v>
      </c>
      <c r="F199" s="51">
        <v>993</v>
      </c>
      <c r="G199" s="35">
        <v>12</v>
      </c>
      <c r="H199">
        <v>3.6</v>
      </c>
    </row>
    <row r="200" spans="1:9" x14ac:dyDescent="0.25">
      <c r="A200">
        <v>3</v>
      </c>
      <c r="B200" t="str">
        <f t="shared" si="3"/>
        <v>P3</v>
      </c>
      <c r="C200" s="35" t="s">
        <v>66</v>
      </c>
      <c r="D200" s="51" t="s">
        <v>420</v>
      </c>
      <c r="E200" s="51" t="s">
        <v>60</v>
      </c>
      <c r="F200" s="51">
        <v>1279</v>
      </c>
      <c r="G200" s="35">
        <v>12</v>
      </c>
      <c r="H200">
        <v>4.8</v>
      </c>
    </row>
    <row r="201" spans="1:9" x14ac:dyDescent="0.25">
      <c r="A201">
        <v>3</v>
      </c>
      <c r="B201" t="str">
        <f t="shared" si="3"/>
        <v>R3</v>
      </c>
      <c r="C201" s="35" t="s">
        <v>68</v>
      </c>
      <c r="D201" s="51" t="s">
        <v>420</v>
      </c>
      <c r="E201" s="51" t="s">
        <v>60</v>
      </c>
      <c r="F201" s="51">
        <v>637</v>
      </c>
      <c r="G201" s="35">
        <v>12</v>
      </c>
      <c r="H201">
        <v>3.8</v>
      </c>
    </row>
    <row r="202" spans="1:9" x14ac:dyDescent="0.25">
      <c r="A202">
        <v>3</v>
      </c>
      <c r="B202" t="str">
        <f t="shared" si="3"/>
        <v>X3</v>
      </c>
      <c r="C202" s="35" t="s">
        <v>390</v>
      </c>
      <c r="D202" s="51" t="s">
        <v>420</v>
      </c>
      <c r="E202" s="51" t="s">
        <v>49</v>
      </c>
      <c r="F202" s="51">
        <v>828</v>
      </c>
      <c r="G202" s="35">
        <v>12</v>
      </c>
      <c r="H202">
        <v>5.2</v>
      </c>
    </row>
    <row r="203" spans="1:9" x14ac:dyDescent="0.25">
      <c r="A203">
        <v>3</v>
      </c>
      <c r="B203" t="str">
        <f t="shared" si="3"/>
        <v>Å3</v>
      </c>
      <c r="C203" s="35" t="s">
        <v>145</v>
      </c>
      <c r="D203" s="36" t="s">
        <v>417</v>
      </c>
      <c r="E203" s="36" t="s">
        <v>49</v>
      </c>
      <c r="F203" s="36">
        <v>970</v>
      </c>
      <c r="G203" s="35">
        <v>12</v>
      </c>
      <c r="H203">
        <v>4.0999999999999996</v>
      </c>
      <c r="I203">
        <f>(4+3+5)/3*50*100</f>
        <v>20000</v>
      </c>
    </row>
    <row r="204" spans="1:9" x14ac:dyDescent="0.25">
      <c r="A204">
        <v>3</v>
      </c>
      <c r="B204" t="str">
        <f t="shared" si="3"/>
        <v>ALPHA3</v>
      </c>
      <c r="C204" s="78" t="s">
        <v>586</v>
      </c>
      <c r="D204" s="36" t="s">
        <v>417</v>
      </c>
      <c r="E204" s="36" t="s">
        <v>60</v>
      </c>
      <c r="F204" s="36">
        <v>847</v>
      </c>
      <c r="G204" s="35">
        <v>12</v>
      </c>
      <c r="H204">
        <v>2.6</v>
      </c>
      <c r="I204">
        <f>(5+7+7)/3*50*100</f>
        <v>31666.666666666664</v>
      </c>
    </row>
    <row r="205" spans="1:9" x14ac:dyDescent="0.25">
      <c r="A205">
        <v>3</v>
      </c>
      <c r="B205" t="str">
        <f t="shared" si="3"/>
        <v>BETA3</v>
      </c>
      <c r="C205" s="78" t="s">
        <v>584</v>
      </c>
      <c r="D205" s="36" t="s">
        <v>417</v>
      </c>
      <c r="E205" s="36" t="s">
        <v>60</v>
      </c>
      <c r="F205" s="36">
        <v>777</v>
      </c>
      <c r="G205" s="35">
        <v>12</v>
      </c>
      <c r="H205">
        <v>3.9</v>
      </c>
      <c r="I205">
        <f>(8+4+4)/3*50*100</f>
        <v>26666.666666666664</v>
      </c>
    </row>
    <row r="206" spans="1:9" x14ac:dyDescent="0.25">
      <c r="A206">
        <v>3</v>
      </c>
      <c r="B206" t="str">
        <f t="shared" si="3"/>
        <v>I3</v>
      </c>
      <c r="C206" s="78" t="s">
        <v>56</v>
      </c>
      <c r="D206" s="36" t="s">
        <v>417</v>
      </c>
      <c r="E206" s="36" t="s">
        <v>49</v>
      </c>
      <c r="F206" s="36">
        <v>996</v>
      </c>
      <c r="G206" s="35">
        <v>12</v>
      </c>
      <c r="H206">
        <v>1.5</v>
      </c>
      <c r="I206">
        <f>(4+3+5)/3*50*100</f>
        <v>20000</v>
      </c>
    </row>
    <row r="207" spans="1:9" x14ac:dyDescent="0.25">
      <c r="A207">
        <v>3</v>
      </c>
      <c r="B207" t="str">
        <f t="shared" si="3"/>
        <v>L3</v>
      </c>
      <c r="C207" s="78" t="s">
        <v>58</v>
      </c>
      <c r="D207" s="36" t="s">
        <v>417</v>
      </c>
      <c r="E207" s="36" t="s">
        <v>60</v>
      </c>
      <c r="F207" s="36">
        <v>1175</v>
      </c>
      <c r="G207" s="35">
        <v>12</v>
      </c>
      <c r="H207">
        <v>2.2999999999999998</v>
      </c>
      <c r="I207">
        <f>(6+10+7)/3*50*100</f>
        <v>38333.333333333336</v>
      </c>
    </row>
    <row r="208" spans="1:9" x14ac:dyDescent="0.25">
      <c r="A208">
        <v>3</v>
      </c>
      <c r="B208" t="str">
        <f t="shared" si="3"/>
        <v>Ø3</v>
      </c>
      <c r="C208" s="78" t="s">
        <v>175</v>
      </c>
      <c r="D208" s="36" t="s">
        <v>417</v>
      </c>
      <c r="E208" s="36" t="s">
        <v>49</v>
      </c>
      <c r="F208" s="36">
        <v>826</v>
      </c>
      <c r="G208" s="35">
        <v>12</v>
      </c>
      <c r="H208">
        <v>3.3</v>
      </c>
      <c r="I208">
        <f>(11+9+9)/3*50*100</f>
        <v>48333.333333333328</v>
      </c>
    </row>
    <row r="209" spans="1:9" x14ac:dyDescent="0.25">
      <c r="A209">
        <v>1</v>
      </c>
      <c r="B209" t="str">
        <f t="shared" si="3"/>
        <v>B1</v>
      </c>
      <c r="C209" s="6" t="s">
        <v>39</v>
      </c>
      <c r="D209" s="5" t="s">
        <v>418</v>
      </c>
      <c r="E209" s="5" t="s">
        <v>49</v>
      </c>
      <c r="F209" s="5"/>
      <c r="G209">
        <v>22</v>
      </c>
    </row>
    <row r="210" spans="1:9" x14ac:dyDescent="0.25">
      <c r="A210">
        <v>1</v>
      </c>
      <c r="B210" t="str">
        <f t="shared" si="3"/>
        <v>F1</v>
      </c>
      <c r="C210" s="6" t="s">
        <v>49</v>
      </c>
      <c r="D210" s="5" t="s">
        <v>418</v>
      </c>
      <c r="E210" s="5" t="s">
        <v>49</v>
      </c>
      <c r="F210" s="5"/>
      <c r="G210">
        <v>22</v>
      </c>
      <c r="I210">
        <f>((4+6+11)/3)*50*1000</f>
        <v>350000</v>
      </c>
    </row>
    <row r="211" spans="1:9" x14ac:dyDescent="0.25">
      <c r="A211">
        <v>1</v>
      </c>
      <c r="B211" t="str">
        <f t="shared" si="3"/>
        <v>I1</v>
      </c>
      <c r="C211" s="6" t="s">
        <v>56</v>
      </c>
      <c r="D211" s="5" t="s">
        <v>418</v>
      </c>
      <c r="E211" s="5" t="s">
        <v>60</v>
      </c>
      <c r="F211" s="5"/>
      <c r="G211">
        <v>22</v>
      </c>
      <c r="H211">
        <v>35</v>
      </c>
      <c r="I211">
        <f>((6+8+10)/3)*50*100</f>
        <v>40000</v>
      </c>
    </row>
    <row r="212" spans="1:9" x14ac:dyDescent="0.25">
      <c r="A212">
        <v>1</v>
      </c>
      <c r="B212" t="str">
        <f t="shared" si="3"/>
        <v>N1</v>
      </c>
      <c r="C212" s="6" t="s">
        <v>62</v>
      </c>
      <c r="D212" s="5" t="s">
        <v>418</v>
      </c>
      <c r="E212" s="5" t="s">
        <v>60</v>
      </c>
      <c r="F212" s="5"/>
      <c r="G212">
        <v>22</v>
      </c>
    </row>
    <row r="213" spans="1:9" x14ac:dyDescent="0.25">
      <c r="A213">
        <v>1</v>
      </c>
      <c r="B213" t="str">
        <f t="shared" si="3"/>
        <v>H1</v>
      </c>
      <c r="C213" s="1" t="s">
        <v>53</v>
      </c>
      <c r="D213" s="10" t="s">
        <v>421</v>
      </c>
      <c r="E213" s="10" t="s">
        <v>60</v>
      </c>
      <c r="F213" s="10"/>
      <c r="G213">
        <v>22</v>
      </c>
      <c r="H213">
        <v>8</v>
      </c>
      <c r="I213">
        <v>0</v>
      </c>
    </row>
    <row r="214" spans="1:9" x14ac:dyDescent="0.25">
      <c r="A214">
        <v>1</v>
      </c>
      <c r="B214" t="str">
        <f t="shared" si="3"/>
        <v>L1</v>
      </c>
      <c r="C214" s="1" t="s">
        <v>58</v>
      </c>
      <c r="D214" s="10" t="s">
        <v>421</v>
      </c>
      <c r="E214" s="10" t="s">
        <v>49</v>
      </c>
      <c r="F214" s="10"/>
      <c r="G214">
        <v>22</v>
      </c>
      <c r="H214">
        <v>9.5</v>
      </c>
      <c r="I214">
        <v>0</v>
      </c>
    </row>
    <row r="215" spans="1:9" x14ac:dyDescent="0.25">
      <c r="A215">
        <v>1</v>
      </c>
      <c r="B215" t="str">
        <f t="shared" si="3"/>
        <v>C1</v>
      </c>
      <c r="C215" s="25" t="s">
        <v>43</v>
      </c>
      <c r="D215" s="26" t="s">
        <v>419</v>
      </c>
      <c r="E215" s="26" t="s">
        <v>49</v>
      </c>
      <c r="F215" s="26"/>
      <c r="G215">
        <v>22</v>
      </c>
      <c r="H215">
        <v>2.7</v>
      </c>
      <c r="I215">
        <f>((3)/2)*50*10</f>
        <v>750</v>
      </c>
    </row>
    <row r="216" spans="1:9" x14ac:dyDescent="0.25">
      <c r="A216">
        <v>1</v>
      </c>
      <c r="B216" t="str">
        <f t="shared" si="3"/>
        <v>E1</v>
      </c>
      <c r="C216" s="25" t="s">
        <v>47</v>
      </c>
      <c r="D216" s="26" t="s">
        <v>419</v>
      </c>
      <c r="E216" s="26" t="s">
        <v>60</v>
      </c>
      <c r="F216" s="26"/>
      <c r="G216">
        <v>22</v>
      </c>
      <c r="H216">
        <v>3.8</v>
      </c>
      <c r="I216">
        <f>((4+2)/3)*50*10</f>
        <v>1000</v>
      </c>
    </row>
    <row r="217" spans="1:9" x14ac:dyDescent="0.25">
      <c r="A217">
        <v>1</v>
      </c>
      <c r="B217" t="str">
        <f t="shared" si="3"/>
        <v>G1</v>
      </c>
      <c r="C217" s="25" t="s">
        <v>51</v>
      </c>
      <c r="D217" s="26" t="s">
        <v>419</v>
      </c>
      <c r="E217" s="26" t="s">
        <v>49</v>
      </c>
      <c r="F217" s="26"/>
      <c r="G217">
        <v>22</v>
      </c>
      <c r="H217">
        <v>1.8</v>
      </c>
      <c r="I217">
        <f>((11+11+13)/3)*50*10</f>
        <v>5833.3333333333321</v>
      </c>
    </row>
    <row r="218" spans="1:9" x14ac:dyDescent="0.25">
      <c r="A218">
        <v>1</v>
      </c>
      <c r="B218" t="str">
        <f t="shared" si="3"/>
        <v>O1</v>
      </c>
      <c r="C218" s="25" t="s">
        <v>64</v>
      </c>
      <c r="D218" s="26" t="s">
        <v>419</v>
      </c>
      <c r="E218" s="26" t="s">
        <v>60</v>
      </c>
      <c r="F218" s="26"/>
      <c r="G218">
        <v>22</v>
      </c>
      <c r="I218">
        <f>(2*50*10)</f>
        <v>1000</v>
      </c>
    </row>
    <row r="219" spans="1:9" x14ac:dyDescent="0.25">
      <c r="A219">
        <v>1</v>
      </c>
      <c r="B219" t="str">
        <f t="shared" si="3"/>
        <v>K1</v>
      </c>
      <c r="C219" s="2" t="s">
        <v>82</v>
      </c>
      <c r="D219" s="9" t="s">
        <v>420</v>
      </c>
      <c r="E219" s="9" t="s">
        <v>60</v>
      </c>
      <c r="F219" s="9"/>
      <c r="G219">
        <v>22</v>
      </c>
      <c r="H219">
        <v>5.7</v>
      </c>
      <c r="I219">
        <v>0</v>
      </c>
    </row>
    <row r="220" spans="1:9" x14ac:dyDescent="0.25">
      <c r="A220">
        <v>1</v>
      </c>
      <c r="B220" t="str">
        <f t="shared" si="3"/>
        <v>S1</v>
      </c>
      <c r="C220" s="2" t="s">
        <v>70</v>
      </c>
      <c r="D220" s="9" t="s">
        <v>420</v>
      </c>
      <c r="E220" s="9" t="s">
        <v>49</v>
      </c>
      <c r="F220" s="9"/>
      <c r="G220">
        <v>22</v>
      </c>
      <c r="H220">
        <v>4</v>
      </c>
      <c r="I220">
        <v>0</v>
      </c>
    </row>
    <row r="221" spans="1:9" x14ac:dyDescent="0.25">
      <c r="A221">
        <v>1</v>
      </c>
      <c r="B221" t="str">
        <f t="shared" si="3"/>
        <v>J1</v>
      </c>
      <c r="C221" s="24" t="s">
        <v>80</v>
      </c>
      <c r="D221" s="36" t="s">
        <v>417</v>
      </c>
      <c r="E221" s="36" t="s">
        <v>60</v>
      </c>
      <c r="F221" s="36"/>
      <c r="G221">
        <v>22</v>
      </c>
    </row>
    <row r="222" spans="1:9" x14ac:dyDescent="0.25">
      <c r="A222">
        <v>1</v>
      </c>
      <c r="B222" t="str">
        <f t="shared" si="3"/>
        <v>M1</v>
      </c>
      <c r="C222" s="24" t="s">
        <v>60</v>
      </c>
      <c r="D222" s="36" t="s">
        <v>417</v>
      </c>
      <c r="E222" s="36" t="s">
        <v>49</v>
      </c>
      <c r="F222" s="36"/>
      <c r="G222">
        <v>22</v>
      </c>
      <c r="H222">
        <v>3.4</v>
      </c>
      <c r="I222">
        <f>((2+4+6)/3)*50*10</f>
        <v>2000</v>
      </c>
    </row>
    <row r="223" spans="1:9" x14ac:dyDescent="0.25">
      <c r="A223">
        <v>1</v>
      </c>
      <c r="B223" t="str">
        <f t="shared" si="3"/>
        <v>P1</v>
      </c>
      <c r="C223" s="24" t="s">
        <v>66</v>
      </c>
      <c r="D223" s="36" t="s">
        <v>417</v>
      </c>
      <c r="E223" s="36" t="s">
        <v>60</v>
      </c>
      <c r="F223" s="36"/>
      <c r="G223">
        <v>22</v>
      </c>
    </row>
    <row r="224" spans="1:9" x14ac:dyDescent="0.25">
      <c r="A224">
        <v>1</v>
      </c>
      <c r="B224" t="str">
        <f t="shared" si="3"/>
        <v>R1</v>
      </c>
      <c r="C224" s="24" t="s">
        <v>68</v>
      </c>
      <c r="D224" s="36" t="s">
        <v>417</v>
      </c>
      <c r="E224" s="36" t="s">
        <v>49</v>
      </c>
      <c r="F224" s="36"/>
      <c r="G224">
        <v>22</v>
      </c>
      <c r="I224">
        <f>((4+8)/2)*50*100</f>
        <v>30000</v>
      </c>
    </row>
    <row r="225" spans="1:9" x14ac:dyDescent="0.25">
      <c r="A225">
        <v>2</v>
      </c>
      <c r="B225" t="str">
        <f t="shared" si="3"/>
        <v>F2</v>
      </c>
      <c r="C225" s="6" t="s">
        <v>49</v>
      </c>
      <c r="D225" s="5" t="s">
        <v>418</v>
      </c>
      <c r="E225" s="82" t="s">
        <v>60</v>
      </c>
      <c r="F225" s="82">
        <v>1189</v>
      </c>
      <c r="G225" s="35">
        <v>22</v>
      </c>
    </row>
    <row r="226" spans="1:9" x14ac:dyDescent="0.25">
      <c r="A226">
        <v>2</v>
      </c>
      <c r="B226" t="str">
        <f t="shared" si="3"/>
        <v>H2</v>
      </c>
      <c r="C226" s="6" t="s">
        <v>53</v>
      </c>
      <c r="D226" s="5" t="s">
        <v>418</v>
      </c>
      <c r="E226" s="82" t="s">
        <v>60</v>
      </c>
      <c r="F226" s="82">
        <v>1243</v>
      </c>
      <c r="G226" s="35">
        <v>22</v>
      </c>
    </row>
    <row r="227" spans="1:9" x14ac:dyDescent="0.25">
      <c r="A227">
        <v>2</v>
      </c>
      <c r="B227" t="str">
        <f t="shared" si="3"/>
        <v>N2</v>
      </c>
      <c r="C227" s="6" t="s">
        <v>62</v>
      </c>
      <c r="D227" s="5" t="s">
        <v>418</v>
      </c>
      <c r="E227" s="82" t="s">
        <v>60</v>
      </c>
      <c r="F227" s="82">
        <v>791</v>
      </c>
      <c r="G227" s="35">
        <v>22</v>
      </c>
    </row>
    <row r="228" spans="1:9" x14ac:dyDescent="0.25">
      <c r="A228">
        <v>2</v>
      </c>
      <c r="B228" t="str">
        <f t="shared" si="3"/>
        <v>Q2</v>
      </c>
      <c r="C228" s="6" t="s">
        <v>385</v>
      </c>
      <c r="D228" s="5" t="s">
        <v>418</v>
      </c>
      <c r="E228" s="82" t="s">
        <v>49</v>
      </c>
      <c r="F228" s="82">
        <v>793.5</v>
      </c>
      <c r="G228" s="35">
        <v>22</v>
      </c>
      <c r="H228">
        <v>7.3</v>
      </c>
      <c r="I228">
        <f>(6+5+4)/3*50*100</f>
        <v>25000</v>
      </c>
    </row>
    <row r="229" spans="1:9" x14ac:dyDescent="0.25">
      <c r="A229">
        <v>2</v>
      </c>
      <c r="B229" t="str">
        <f t="shared" si="3"/>
        <v>R2</v>
      </c>
      <c r="C229" s="6" t="s">
        <v>68</v>
      </c>
      <c r="D229" s="5" t="s">
        <v>418</v>
      </c>
      <c r="E229" s="82" t="s">
        <v>49</v>
      </c>
      <c r="F229" s="82">
        <v>1303</v>
      </c>
      <c r="G229" s="35">
        <v>22</v>
      </c>
    </row>
    <row r="230" spans="1:9" x14ac:dyDescent="0.25">
      <c r="A230">
        <v>2</v>
      </c>
      <c r="B230" t="str">
        <f t="shared" si="3"/>
        <v>Y2</v>
      </c>
      <c r="C230" s="6" t="s">
        <v>384</v>
      </c>
      <c r="D230" s="5" t="s">
        <v>418</v>
      </c>
      <c r="E230" s="82" t="s">
        <v>60</v>
      </c>
      <c r="F230" s="82">
        <v>1340.4</v>
      </c>
      <c r="G230" s="35">
        <v>22</v>
      </c>
      <c r="H230">
        <v>8.5</v>
      </c>
      <c r="I230">
        <f>(4+6+9)/3*50*1000</f>
        <v>316666.66666666663</v>
      </c>
    </row>
    <row r="231" spans="1:9" x14ac:dyDescent="0.25">
      <c r="A231">
        <v>2</v>
      </c>
      <c r="B231" t="str">
        <f t="shared" si="3"/>
        <v>G2</v>
      </c>
      <c r="C231" s="1" t="s">
        <v>51</v>
      </c>
      <c r="D231" s="10" t="s">
        <v>421</v>
      </c>
      <c r="E231" s="86" t="s">
        <v>49</v>
      </c>
      <c r="F231" s="86">
        <v>1387</v>
      </c>
      <c r="G231" s="35">
        <v>22</v>
      </c>
      <c r="H231">
        <v>9.9</v>
      </c>
      <c r="I231">
        <v>0</v>
      </c>
    </row>
    <row r="232" spans="1:9" x14ac:dyDescent="0.25">
      <c r="A232">
        <v>2</v>
      </c>
      <c r="B232" t="str">
        <f t="shared" si="3"/>
        <v>I2</v>
      </c>
      <c r="C232" s="1" t="s">
        <v>56</v>
      </c>
      <c r="D232" s="10" t="s">
        <v>421</v>
      </c>
      <c r="E232" s="86" t="s">
        <v>60</v>
      </c>
      <c r="F232" s="86">
        <v>1015.2</v>
      </c>
      <c r="G232" s="35">
        <v>22</v>
      </c>
      <c r="H232">
        <v>11.6</v>
      </c>
      <c r="I232">
        <v>0</v>
      </c>
    </row>
    <row r="233" spans="1:9" x14ac:dyDescent="0.25">
      <c r="A233">
        <v>2</v>
      </c>
      <c r="B233" t="str">
        <f t="shared" si="3"/>
        <v>T2</v>
      </c>
      <c r="C233" s="1" t="s">
        <v>386</v>
      </c>
      <c r="D233" s="10" t="s">
        <v>421</v>
      </c>
      <c r="E233" s="86" t="s">
        <v>60</v>
      </c>
      <c r="F233" s="86">
        <v>1193</v>
      </c>
      <c r="G233" s="35">
        <v>22</v>
      </c>
      <c r="H233">
        <v>35</v>
      </c>
    </row>
    <row r="234" spans="1:9" x14ac:dyDescent="0.25">
      <c r="A234">
        <v>2</v>
      </c>
      <c r="B234" t="str">
        <f t="shared" si="3"/>
        <v>Å2</v>
      </c>
      <c r="C234" s="25" t="s">
        <v>145</v>
      </c>
      <c r="D234" s="26" t="s">
        <v>419</v>
      </c>
      <c r="E234" s="84" t="s">
        <v>60</v>
      </c>
      <c r="F234" s="84">
        <v>902</v>
      </c>
      <c r="G234" s="35">
        <v>22</v>
      </c>
      <c r="H234">
        <v>3</v>
      </c>
      <c r="I234">
        <f>2*50*10</f>
        <v>1000</v>
      </c>
    </row>
    <row r="235" spans="1:9" x14ac:dyDescent="0.25">
      <c r="A235">
        <v>2</v>
      </c>
      <c r="B235" t="str">
        <f t="shared" si="3"/>
        <v>D2</v>
      </c>
      <c r="C235" s="25" t="s">
        <v>45</v>
      </c>
      <c r="D235" s="26" t="s">
        <v>419</v>
      </c>
      <c r="E235" s="84" t="s">
        <v>49</v>
      </c>
      <c r="F235" s="84">
        <v>1041</v>
      </c>
      <c r="G235" s="35">
        <v>22</v>
      </c>
      <c r="H235">
        <v>3.4</v>
      </c>
    </row>
    <row r="236" spans="1:9" x14ac:dyDescent="0.25">
      <c r="A236">
        <v>2</v>
      </c>
      <c r="B236" t="str">
        <f t="shared" si="3"/>
        <v>E2</v>
      </c>
      <c r="C236" s="25" t="s">
        <v>47</v>
      </c>
      <c r="D236" s="26" t="s">
        <v>419</v>
      </c>
      <c r="E236" s="84" t="s">
        <v>49</v>
      </c>
      <c r="F236" s="84">
        <v>1260.5999999999999</v>
      </c>
      <c r="G236" s="35">
        <v>22</v>
      </c>
      <c r="H236">
        <v>2.1</v>
      </c>
      <c r="I236">
        <f>1*50</f>
        <v>50</v>
      </c>
    </row>
    <row r="237" spans="1:9" x14ac:dyDescent="0.25">
      <c r="A237">
        <v>2</v>
      </c>
      <c r="B237" t="str">
        <f t="shared" si="3"/>
        <v>K2</v>
      </c>
      <c r="C237" s="25" t="s">
        <v>82</v>
      </c>
      <c r="D237" s="26" t="s">
        <v>419</v>
      </c>
      <c r="E237" s="84" t="s">
        <v>60</v>
      </c>
      <c r="F237" s="84">
        <v>1405</v>
      </c>
      <c r="G237" s="35">
        <v>22</v>
      </c>
      <c r="H237">
        <v>3.4</v>
      </c>
      <c r="I237">
        <f>(8+10+4)/3*50*10</f>
        <v>3666.6666666666661</v>
      </c>
    </row>
    <row r="238" spans="1:9" x14ac:dyDescent="0.25">
      <c r="A238">
        <v>2</v>
      </c>
      <c r="B238" t="str">
        <f t="shared" si="3"/>
        <v>U2</v>
      </c>
      <c r="C238" s="25" t="s">
        <v>388</v>
      </c>
      <c r="D238" s="26" t="s">
        <v>419</v>
      </c>
      <c r="E238" s="84" t="s">
        <v>60</v>
      </c>
      <c r="F238" s="84">
        <v>741.5</v>
      </c>
      <c r="G238" s="35">
        <v>22</v>
      </c>
      <c r="I238">
        <f>8*50*100</f>
        <v>40000</v>
      </c>
    </row>
    <row r="239" spans="1:9" x14ac:dyDescent="0.25">
      <c r="A239">
        <v>2</v>
      </c>
      <c r="B239" t="str">
        <f t="shared" si="3"/>
        <v>V2</v>
      </c>
      <c r="C239" s="25" t="s">
        <v>389</v>
      </c>
      <c r="D239" s="26" t="s">
        <v>419</v>
      </c>
      <c r="E239" s="84" t="s">
        <v>60</v>
      </c>
      <c r="F239" s="84">
        <v>1281</v>
      </c>
      <c r="G239" s="35">
        <v>22</v>
      </c>
      <c r="H239">
        <v>4.7</v>
      </c>
      <c r="I239">
        <f>(2+5)/2*50*100</f>
        <v>17500</v>
      </c>
    </row>
    <row r="240" spans="1:9" x14ac:dyDescent="0.25">
      <c r="A240">
        <v>2</v>
      </c>
      <c r="B240" t="str">
        <f t="shared" si="3"/>
        <v>X2</v>
      </c>
      <c r="C240" s="25" t="s">
        <v>390</v>
      </c>
      <c r="D240" s="26" t="s">
        <v>419</v>
      </c>
      <c r="E240" s="84" t="s">
        <v>60</v>
      </c>
      <c r="F240" s="84">
        <v>1111</v>
      </c>
      <c r="G240" s="35">
        <v>22</v>
      </c>
      <c r="H240">
        <v>4.7</v>
      </c>
      <c r="I240">
        <f>(4+4+9)/3*50*10</f>
        <v>2833.3333333333339</v>
      </c>
    </row>
    <row r="241" spans="1:9" x14ac:dyDescent="0.25">
      <c r="A241">
        <v>2</v>
      </c>
      <c r="B241" t="str">
        <f t="shared" si="3"/>
        <v>L2</v>
      </c>
      <c r="C241" s="2" t="s">
        <v>58</v>
      </c>
      <c r="D241" s="9" t="s">
        <v>420</v>
      </c>
      <c r="E241" s="80" t="s">
        <v>60</v>
      </c>
      <c r="F241" s="80">
        <v>1202.8</v>
      </c>
      <c r="G241" s="35">
        <v>22</v>
      </c>
      <c r="H241">
        <v>3.6</v>
      </c>
      <c r="I241">
        <v>0</v>
      </c>
    </row>
    <row r="242" spans="1:9" x14ac:dyDescent="0.25">
      <c r="A242">
        <v>2</v>
      </c>
      <c r="B242" t="str">
        <f t="shared" si="3"/>
        <v>O2</v>
      </c>
      <c r="C242" s="2" t="s">
        <v>64</v>
      </c>
      <c r="D242" s="9" t="s">
        <v>420</v>
      </c>
      <c r="E242" s="80" t="s">
        <v>60</v>
      </c>
      <c r="F242" s="80">
        <v>1031</v>
      </c>
      <c r="G242" s="35">
        <v>22</v>
      </c>
      <c r="H242">
        <v>3.6</v>
      </c>
      <c r="I242">
        <v>0</v>
      </c>
    </row>
    <row r="243" spans="1:9" x14ac:dyDescent="0.25">
      <c r="A243">
        <v>2</v>
      </c>
      <c r="B243" t="str">
        <f t="shared" si="3"/>
        <v>Ø2</v>
      </c>
      <c r="C243" s="2" t="s">
        <v>175</v>
      </c>
      <c r="D243" s="9" t="s">
        <v>420</v>
      </c>
      <c r="E243" s="80" t="s">
        <v>49</v>
      </c>
      <c r="F243" s="80">
        <v>1275</v>
      </c>
      <c r="G243" s="35">
        <v>22</v>
      </c>
      <c r="H243">
        <v>3.5</v>
      </c>
      <c r="I243">
        <v>0</v>
      </c>
    </row>
    <row r="244" spans="1:9" x14ac:dyDescent="0.25">
      <c r="A244">
        <v>2</v>
      </c>
      <c r="B244" t="str">
        <f t="shared" si="3"/>
        <v>A2</v>
      </c>
      <c r="C244" s="24" t="s">
        <v>36</v>
      </c>
      <c r="D244" s="36" t="s">
        <v>417</v>
      </c>
      <c r="E244" s="83" t="s">
        <v>60</v>
      </c>
      <c r="F244" s="83">
        <v>1210</v>
      </c>
      <c r="G244" s="35">
        <v>22</v>
      </c>
    </row>
    <row r="245" spans="1:9" x14ac:dyDescent="0.25">
      <c r="A245">
        <v>2</v>
      </c>
      <c r="B245" t="str">
        <f t="shared" si="3"/>
        <v>Æ2</v>
      </c>
      <c r="C245" s="24" t="s">
        <v>202</v>
      </c>
      <c r="D245" s="36" t="s">
        <v>417</v>
      </c>
      <c r="E245" s="83" t="s">
        <v>60</v>
      </c>
      <c r="F245" s="83">
        <v>1180.8</v>
      </c>
      <c r="G245" s="35">
        <v>22</v>
      </c>
    </row>
    <row r="246" spans="1:9" x14ac:dyDescent="0.25">
      <c r="A246">
        <v>2</v>
      </c>
      <c r="B246" t="str">
        <f t="shared" si="3"/>
        <v>B2</v>
      </c>
      <c r="C246" s="24" t="s">
        <v>39</v>
      </c>
      <c r="D246" s="36" t="s">
        <v>417</v>
      </c>
      <c r="E246" s="83" t="s">
        <v>49</v>
      </c>
      <c r="F246" s="83">
        <v>1015</v>
      </c>
      <c r="G246" s="35">
        <v>22</v>
      </c>
      <c r="H246">
        <v>1.8</v>
      </c>
      <c r="I246">
        <f>(20+14+15)/3*50*10</f>
        <v>8166.6666666666661</v>
      </c>
    </row>
    <row r="247" spans="1:9" x14ac:dyDescent="0.25">
      <c r="A247">
        <v>2</v>
      </c>
      <c r="B247" t="str">
        <f t="shared" si="3"/>
        <v>C2</v>
      </c>
      <c r="C247" s="24" t="s">
        <v>43</v>
      </c>
      <c r="D247" s="36" t="s">
        <v>417</v>
      </c>
      <c r="E247" s="83" t="s">
        <v>49</v>
      </c>
      <c r="F247" s="83">
        <v>1210</v>
      </c>
      <c r="G247" s="35">
        <v>22</v>
      </c>
      <c r="H247">
        <v>3.8</v>
      </c>
      <c r="I247">
        <f>(3+2+2)/3*50*100</f>
        <v>11666.666666666668</v>
      </c>
    </row>
    <row r="248" spans="1:9" x14ac:dyDescent="0.25">
      <c r="A248">
        <v>2</v>
      </c>
      <c r="B248" t="str">
        <f t="shared" si="3"/>
        <v>J2</v>
      </c>
      <c r="C248" s="24" t="s">
        <v>80</v>
      </c>
      <c r="D248" s="36" t="s">
        <v>417</v>
      </c>
      <c r="E248" s="83" t="s">
        <v>49</v>
      </c>
      <c r="F248" s="83">
        <v>678</v>
      </c>
      <c r="G248" s="35">
        <v>22</v>
      </c>
      <c r="H248">
        <v>2.9</v>
      </c>
      <c r="I248">
        <f>(4+3+10)/3*50*100</f>
        <v>28333.333333333336</v>
      </c>
    </row>
    <row r="249" spans="1:9" x14ac:dyDescent="0.25">
      <c r="A249">
        <v>2</v>
      </c>
      <c r="B249" t="str">
        <f t="shared" si="3"/>
        <v>M2</v>
      </c>
      <c r="C249" s="24" t="s">
        <v>60</v>
      </c>
      <c r="D249" s="36" t="s">
        <v>417</v>
      </c>
      <c r="E249" s="83" t="s">
        <v>60</v>
      </c>
      <c r="F249" s="83">
        <v>1261</v>
      </c>
      <c r="G249" s="35">
        <v>22</v>
      </c>
      <c r="H249">
        <v>4.3</v>
      </c>
      <c r="I249">
        <f>6*50*10</f>
        <v>3000</v>
      </c>
    </row>
    <row r="250" spans="1:9" x14ac:dyDescent="0.25">
      <c r="A250">
        <v>2</v>
      </c>
      <c r="B250" t="str">
        <f t="shared" si="3"/>
        <v>P2</v>
      </c>
      <c r="C250" s="24" t="s">
        <v>66</v>
      </c>
      <c r="D250" s="36" t="s">
        <v>417</v>
      </c>
      <c r="E250" s="83" t="s">
        <v>49</v>
      </c>
      <c r="F250" s="83">
        <v>1098.7</v>
      </c>
      <c r="G250" s="35">
        <v>22</v>
      </c>
      <c r="H250">
        <v>6.3</v>
      </c>
      <c r="I250">
        <f>(8*50*100)</f>
        <v>40000</v>
      </c>
    </row>
    <row r="251" spans="1:9" x14ac:dyDescent="0.25">
      <c r="A251">
        <v>2</v>
      </c>
      <c r="B251" t="str">
        <f t="shared" si="3"/>
        <v>S2</v>
      </c>
      <c r="C251" s="24" t="s">
        <v>70</v>
      </c>
      <c r="D251" s="36" t="s">
        <v>417</v>
      </c>
      <c r="E251" s="83" t="s">
        <v>60</v>
      </c>
      <c r="F251" s="83">
        <v>1327</v>
      </c>
      <c r="G251" s="35">
        <v>22</v>
      </c>
      <c r="H251">
        <v>3.5</v>
      </c>
      <c r="I251">
        <f>7*50*100</f>
        <v>35000</v>
      </c>
    </row>
    <row r="252" spans="1:9" x14ac:dyDescent="0.25">
      <c r="A252">
        <v>2</v>
      </c>
      <c r="B252" t="str">
        <f t="shared" si="3"/>
        <v>Z2</v>
      </c>
      <c r="C252" s="24" t="s">
        <v>387</v>
      </c>
      <c r="D252" s="36" t="s">
        <v>417</v>
      </c>
      <c r="E252" s="83" t="s">
        <v>49</v>
      </c>
      <c r="F252" s="83">
        <v>1270</v>
      </c>
      <c r="G252" s="35">
        <v>22</v>
      </c>
    </row>
    <row r="253" spans="1:9" x14ac:dyDescent="0.25">
      <c r="A253">
        <v>3</v>
      </c>
      <c r="B253" t="str">
        <f t="shared" si="3"/>
        <v>A3</v>
      </c>
      <c r="C253" s="35" t="s">
        <v>36</v>
      </c>
      <c r="D253" s="5" t="s">
        <v>418</v>
      </c>
      <c r="E253" s="5" t="s">
        <v>49</v>
      </c>
      <c r="F253" s="5">
        <v>725</v>
      </c>
      <c r="G253" s="35">
        <v>22</v>
      </c>
      <c r="I253">
        <f>(14+11+16)/3*50*100</f>
        <v>68333.333333333328</v>
      </c>
    </row>
    <row r="254" spans="1:9" x14ac:dyDescent="0.25">
      <c r="A254">
        <v>3</v>
      </c>
      <c r="B254" t="str">
        <f t="shared" si="3"/>
        <v>B3</v>
      </c>
      <c r="C254" s="35" t="s">
        <v>39</v>
      </c>
      <c r="D254" s="5" t="s">
        <v>418</v>
      </c>
      <c r="E254" s="5" t="s">
        <v>49</v>
      </c>
      <c r="F254" s="5">
        <v>794</v>
      </c>
      <c r="G254" s="35">
        <v>22</v>
      </c>
    </row>
    <row r="255" spans="1:9" x14ac:dyDescent="0.25">
      <c r="A255">
        <v>3</v>
      </c>
      <c r="B255" t="str">
        <f t="shared" si="3"/>
        <v>D3</v>
      </c>
      <c r="C255" s="35" t="s">
        <v>45</v>
      </c>
      <c r="D255" s="5" t="s">
        <v>418</v>
      </c>
      <c r="E255" s="5" t="s">
        <v>60</v>
      </c>
      <c r="F255" s="5">
        <v>949.7</v>
      </c>
      <c r="G255" s="35">
        <v>22</v>
      </c>
    </row>
    <row r="256" spans="1:9" x14ac:dyDescent="0.25">
      <c r="A256">
        <v>3</v>
      </c>
      <c r="B256" t="str">
        <f t="shared" si="3"/>
        <v>GAMMA3</v>
      </c>
      <c r="C256" s="35" t="s">
        <v>585</v>
      </c>
      <c r="D256" s="5" t="s">
        <v>418</v>
      </c>
      <c r="E256" s="5" t="s">
        <v>60</v>
      </c>
      <c r="F256" s="5">
        <v>1159</v>
      </c>
      <c r="G256" s="35">
        <v>22</v>
      </c>
      <c r="I256">
        <f>(3+5+4)/3*50*1000</f>
        <v>200000</v>
      </c>
    </row>
    <row r="257" spans="1:9" x14ac:dyDescent="0.25">
      <c r="A257">
        <v>3</v>
      </c>
      <c r="B257" t="str">
        <f t="shared" si="3"/>
        <v>H3</v>
      </c>
      <c r="C257" s="35" t="s">
        <v>53</v>
      </c>
      <c r="D257" s="5" t="s">
        <v>418</v>
      </c>
      <c r="E257" s="5" t="s">
        <v>49</v>
      </c>
      <c r="F257" s="5">
        <v>1104</v>
      </c>
      <c r="G257" s="35">
        <v>22</v>
      </c>
    </row>
    <row r="258" spans="1:9" x14ac:dyDescent="0.25">
      <c r="A258">
        <v>3</v>
      </c>
      <c r="B258" t="str">
        <f t="shared" ref="B258:B277" si="4">C258&amp;A258</f>
        <v>J3</v>
      </c>
      <c r="C258" s="35" t="s">
        <v>80</v>
      </c>
      <c r="D258" s="5" t="s">
        <v>418</v>
      </c>
      <c r="E258" s="5" t="s">
        <v>60</v>
      </c>
      <c r="F258" s="5">
        <v>885</v>
      </c>
      <c r="G258" s="35">
        <v>22</v>
      </c>
      <c r="H258">
        <v>35</v>
      </c>
      <c r="I258">
        <f>(15+22+12)/3*50*1000</f>
        <v>816666.66666666663</v>
      </c>
    </row>
    <row r="259" spans="1:9" x14ac:dyDescent="0.25">
      <c r="A259">
        <v>3</v>
      </c>
      <c r="B259" t="str">
        <f t="shared" si="4"/>
        <v>Æ3</v>
      </c>
      <c r="C259" s="35" t="s">
        <v>202</v>
      </c>
      <c r="D259" s="10" t="s">
        <v>421</v>
      </c>
      <c r="E259" s="53" t="s">
        <v>49</v>
      </c>
      <c r="F259" s="53">
        <v>908</v>
      </c>
      <c r="G259" s="35">
        <v>22</v>
      </c>
      <c r="H259">
        <v>18.3</v>
      </c>
    </row>
    <row r="260" spans="1:9" x14ac:dyDescent="0.25">
      <c r="A260">
        <v>3</v>
      </c>
      <c r="B260" t="str">
        <f t="shared" si="4"/>
        <v>K3</v>
      </c>
      <c r="C260" s="35" t="s">
        <v>82</v>
      </c>
      <c r="D260" s="10" t="s">
        <v>421</v>
      </c>
      <c r="E260" s="53" t="s">
        <v>49</v>
      </c>
      <c r="F260" s="53">
        <v>984</v>
      </c>
      <c r="G260" s="35">
        <v>22</v>
      </c>
      <c r="H260">
        <v>26.2</v>
      </c>
    </row>
    <row r="261" spans="1:9" x14ac:dyDescent="0.25">
      <c r="A261">
        <v>3</v>
      </c>
      <c r="B261" t="str">
        <f t="shared" si="4"/>
        <v>Q3</v>
      </c>
      <c r="C261" s="35" t="s">
        <v>385</v>
      </c>
      <c r="D261" s="10" t="s">
        <v>421</v>
      </c>
      <c r="E261" s="53" t="s">
        <v>60</v>
      </c>
      <c r="F261" s="53">
        <v>676</v>
      </c>
      <c r="G261" s="35">
        <v>22</v>
      </c>
      <c r="H261">
        <v>31.4</v>
      </c>
    </row>
    <row r="262" spans="1:9" x14ac:dyDescent="0.25">
      <c r="A262">
        <v>3</v>
      </c>
      <c r="B262" t="str">
        <f t="shared" si="4"/>
        <v>N3</v>
      </c>
      <c r="C262" s="35" t="s">
        <v>62</v>
      </c>
      <c r="D262" s="26" t="s">
        <v>419</v>
      </c>
      <c r="E262" s="26" t="s">
        <v>60</v>
      </c>
      <c r="F262" s="26">
        <v>1219</v>
      </c>
      <c r="G262" s="35">
        <v>22</v>
      </c>
      <c r="H262">
        <v>1.9</v>
      </c>
      <c r="I262">
        <f>(27+28+28)/3*50*100</f>
        <v>138333.33333333334</v>
      </c>
    </row>
    <row r="263" spans="1:9" x14ac:dyDescent="0.25">
      <c r="A263">
        <v>3</v>
      </c>
      <c r="B263" t="str">
        <f t="shared" si="4"/>
        <v>O3</v>
      </c>
      <c r="C263" s="35" t="s">
        <v>64</v>
      </c>
      <c r="D263" s="26" t="s">
        <v>419</v>
      </c>
      <c r="E263" s="26" t="s">
        <v>49</v>
      </c>
      <c r="F263" s="26">
        <v>849</v>
      </c>
      <c r="G263" s="35">
        <v>22</v>
      </c>
      <c r="H263">
        <v>3.6</v>
      </c>
    </row>
    <row r="264" spans="1:9" x14ac:dyDescent="0.25">
      <c r="A264">
        <v>3</v>
      </c>
      <c r="B264" t="str">
        <f t="shared" si="4"/>
        <v>T3</v>
      </c>
      <c r="C264" s="35" t="s">
        <v>386</v>
      </c>
      <c r="D264" s="26" t="s">
        <v>419</v>
      </c>
      <c r="E264" s="26" t="s">
        <v>60</v>
      </c>
      <c r="F264" s="26">
        <v>1017</v>
      </c>
      <c r="G264" s="35">
        <v>22</v>
      </c>
    </row>
    <row r="265" spans="1:9" x14ac:dyDescent="0.25">
      <c r="A265">
        <v>3</v>
      </c>
      <c r="B265" t="str">
        <f t="shared" si="4"/>
        <v>U3</v>
      </c>
      <c r="C265" s="35" t="s">
        <v>388</v>
      </c>
      <c r="D265" s="26" t="s">
        <v>419</v>
      </c>
      <c r="E265" s="26" t="s">
        <v>49</v>
      </c>
      <c r="F265" s="26">
        <v>909</v>
      </c>
      <c r="G265" s="35">
        <v>22</v>
      </c>
    </row>
    <row r="266" spans="1:9" x14ac:dyDescent="0.25">
      <c r="A266">
        <v>3</v>
      </c>
      <c r="B266" t="str">
        <f t="shared" si="4"/>
        <v>V3</v>
      </c>
      <c r="C266" s="35" t="s">
        <v>389</v>
      </c>
      <c r="D266" s="26" t="s">
        <v>419</v>
      </c>
      <c r="E266" s="26" t="s">
        <v>49</v>
      </c>
      <c r="F266" s="26">
        <v>795</v>
      </c>
      <c r="G266" s="35">
        <v>22</v>
      </c>
      <c r="H266">
        <v>4.2</v>
      </c>
      <c r="I266">
        <v>0</v>
      </c>
    </row>
    <row r="267" spans="1:9" x14ac:dyDescent="0.25">
      <c r="A267">
        <v>3</v>
      </c>
      <c r="B267" t="str">
        <f t="shared" si="4"/>
        <v>Y3</v>
      </c>
      <c r="C267" s="35" t="s">
        <v>384</v>
      </c>
      <c r="D267" s="26" t="s">
        <v>419</v>
      </c>
      <c r="E267" s="26" t="s">
        <v>49</v>
      </c>
      <c r="F267" s="26">
        <v>702</v>
      </c>
      <c r="G267" s="35">
        <v>22</v>
      </c>
      <c r="H267">
        <v>3.8</v>
      </c>
      <c r="I267">
        <v>0</v>
      </c>
    </row>
    <row r="268" spans="1:9" x14ac:dyDescent="0.25">
      <c r="A268">
        <v>3</v>
      </c>
      <c r="B268" t="str">
        <f t="shared" si="4"/>
        <v>G3</v>
      </c>
      <c r="C268" s="35" t="s">
        <v>51</v>
      </c>
      <c r="D268" s="51" t="s">
        <v>420</v>
      </c>
      <c r="E268" s="51" t="s">
        <v>49</v>
      </c>
      <c r="F268" s="51">
        <v>993</v>
      </c>
      <c r="G268" s="35">
        <v>22</v>
      </c>
      <c r="H268">
        <v>3.3</v>
      </c>
    </row>
    <row r="269" spans="1:9" x14ac:dyDescent="0.25">
      <c r="A269">
        <v>3</v>
      </c>
      <c r="B269" t="str">
        <f t="shared" si="4"/>
        <v>P3</v>
      </c>
      <c r="C269" s="35" t="s">
        <v>66</v>
      </c>
      <c r="D269" s="51" t="s">
        <v>420</v>
      </c>
      <c r="E269" s="51" t="s">
        <v>60</v>
      </c>
      <c r="F269" s="51">
        <v>1279</v>
      </c>
      <c r="G269" s="35">
        <v>22</v>
      </c>
    </row>
    <row r="270" spans="1:9" x14ac:dyDescent="0.25">
      <c r="A270">
        <v>3</v>
      </c>
      <c r="B270" t="str">
        <f t="shared" si="4"/>
        <v>R3</v>
      </c>
      <c r="C270" s="35" t="s">
        <v>68</v>
      </c>
      <c r="D270" s="51" t="s">
        <v>420</v>
      </c>
      <c r="E270" s="51" t="s">
        <v>60</v>
      </c>
      <c r="F270" s="51">
        <v>637</v>
      </c>
      <c r="G270" s="35">
        <v>22</v>
      </c>
      <c r="H270">
        <v>3.5</v>
      </c>
    </row>
    <row r="271" spans="1:9" x14ac:dyDescent="0.25">
      <c r="A271">
        <v>3</v>
      </c>
      <c r="B271" t="str">
        <f t="shared" si="4"/>
        <v>X3</v>
      </c>
      <c r="C271" s="35" t="s">
        <v>390</v>
      </c>
      <c r="D271" s="51" t="s">
        <v>420</v>
      </c>
      <c r="E271" s="51" t="s">
        <v>49</v>
      </c>
      <c r="F271" s="51">
        <v>828</v>
      </c>
      <c r="G271" s="35">
        <v>22</v>
      </c>
      <c r="H271">
        <v>5</v>
      </c>
    </row>
    <row r="272" spans="1:9" x14ac:dyDescent="0.25">
      <c r="A272">
        <v>3</v>
      </c>
      <c r="B272" t="str">
        <f t="shared" si="4"/>
        <v>Å3</v>
      </c>
      <c r="C272" s="35" t="s">
        <v>145</v>
      </c>
      <c r="D272" s="36" t="s">
        <v>417</v>
      </c>
      <c r="E272" s="36" t="s">
        <v>49</v>
      </c>
      <c r="F272" s="36">
        <v>970</v>
      </c>
      <c r="G272" s="35">
        <v>22</v>
      </c>
      <c r="I272">
        <f>(4+4+3)/3*50*100</f>
        <v>18333.333333333332</v>
      </c>
    </row>
    <row r="273" spans="1:9" x14ac:dyDescent="0.25">
      <c r="A273">
        <v>3</v>
      </c>
      <c r="B273" t="str">
        <f t="shared" si="4"/>
        <v>ALPHA3</v>
      </c>
      <c r="C273" s="78" t="s">
        <v>586</v>
      </c>
      <c r="D273" s="36" t="s">
        <v>417</v>
      </c>
      <c r="E273" s="36" t="s">
        <v>60</v>
      </c>
      <c r="F273" s="36">
        <v>847</v>
      </c>
      <c r="G273" s="35">
        <v>22</v>
      </c>
      <c r="I273">
        <f>(2+3+1)/3*50*100</f>
        <v>10000</v>
      </c>
    </row>
    <row r="274" spans="1:9" x14ac:dyDescent="0.25">
      <c r="A274">
        <v>3</v>
      </c>
      <c r="B274" t="str">
        <f t="shared" si="4"/>
        <v>BETA3</v>
      </c>
      <c r="C274" s="78" t="s">
        <v>584</v>
      </c>
      <c r="D274" s="36" t="s">
        <v>417</v>
      </c>
      <c r="E274" s="36" t="s">
        <v>60</v>
      </c>
      <c r="F274" s="36">
        <v>777</v>
      </c>
      <c r="G274" s="35">
        <v>22</v>
      </c>
      <c r="H274">
        <v>2.2000000000000002</v>
      </c>
      <c r="I274">
        <f>(3*50*10)</f>
        <v>1500</v>
      </c>
    </row>
    <row r="275" spans="1:9" x14ac:dyDescent="0.25">
      <c r="A275">
        <v>3</v>
      </c>
      <c r="B275" t="str">
        <f t="shared" si="4"/>
        <v>I3</v>
      </c>
      <c r="C275" s="78" t="s">
        <v>56</v>
      </c>
      <c r="D275" s="36" t="s">
        <v>417</v>
      </c>
      <c r="E275" s="36" t="s">
        <v>49</v>
      </c>
      <c r="F275" s="36">
        <v>996</v>
      </c>
      <c r="G275" s="35">
        <v>22</v>
      </c>
      <c r="I275">
        <f>(4+3+5)/3*50*10</f>
        <v>2000</v>
      </c>
    </row>
    <row r="276" spans="1:9" x14ac:dyDescent="0.25">
      <c r="A276">
        <v>3</v>
      </c>
      <c r="B276" t="str">
        <f t="shared" si="4"/>
        <v>L3</v>
      </c>
      <c r="C276" s="78" t="s">
        <v>58</v>
      </c>
      <c r="D276" s="36" t="s">
        <v>417</v>
      </c>
      <c r="E276" s="36" t="s">
        <v>60</v>
      </c>
      <c r="F276" s="36">
        <v>1175</v>
      </c>
      <c r="G276" s="35">
        <v>22</v>
      </c>
      <c r="I276">
        <f>(7+8+6)/3*50*100</f>
        <v>35000</v>
      </c>
    </row>
    <row r="277" spans="1:9" x14ac:dyDescent="0.25">
      <c r="A277">
        <v>3</v>
      </c>
      <c r="B277" t="str">
        <f t="shared" si="4"/>
        <v>Ø3</v>
      </c>
      <c r="C277" s="78" t="s">
        <v>175</v>
      </c>
      <c r="D277" s="36" t="s">
        <v>417</v>
      </c>
      <c r="E277" s="36" t="s">
        <v>49</v>
      </c>
      <c r="F277" s="36">
        <v>826</v>
      </c>
      <c r="G277" s="35">
        <v>22</v>
      </c>
      <c r="H277">
        <v>31.4</v>
      </c>
      <c r="I277">
        <f>(5/3)*50*10</f>
        <v>833.33333333333348</v>
      </c>
    </row>
  </sheetData>
  <sortState xmlns:xlrd2="http://schemas.microsoft.com/office/spreadsheetml/2017/richdata2" ref="A2:I277">
    <sortCondition ref="G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Survival and Gross pathology</vt:lpstr>
      <vt:lpstr>Blood Gas</vt:lpstr>
      <vt:lpstr>Hematology</vt:lpstr>
      <vt:lpstr>Brain</vt:lpstr>
      <vt:lpstr>Biochem at 22hr</vt:lpstr>
      <vt:lpstr>ALTAST</vt:lpstr>
      <vt:lpstr>Cytokines</vt:lpstr>
      <vt:lpstr>Bacteriology+Glucose</vt:lpstr>
    </vt:vector>
  </TitlesOfParts>
  <Company>SUND - KU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Ole Bæk</dc:creator>
  <cp:lastModifiedBy>Ole Bæk</cp:lastModifiedBy>
  <dcterms:created xsi:type="dcterms:W3CDTF">2021-05-19T06:57:13Z</dcterms:created>
  <dcterms:modified xsi:type="dcterms:W3CDTF">2022-12-06T16:58:04Z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a2630e2-1ac5-455e-8217-0156b1936a76_Enabled">
    <vt:lpwstr>true</vt:lpwstr>
  </property>
  <property fmtid="{D5CDD505-2E9C-101B-9397-08002B2CF9AE}" pid="3" name="MSIP_Label_6a2630e2-1ac5-455e-8217-0156b1936a76_SetDate">
    <vt:lpwstr>2022-11-21T13:32:15Z</vt:lpwstr>
  </property>
  <property fmtid="{D5CDD505-2E9C-101B-9397-08002B2CF9AE}" pid="4" name="MSIP_Label_6a2630e2-1ac5-455e-8217-0156b1936a76_Method">
    <vt:lpwstr>Standard</vt:lpwstr>
  </property>
  <property fmtid="{D5CDD505-2E9C-101B-9397-08002B2CF9AE}" pid="5" name="MSIP_Label_6a2630e2-1ac5-455e-8217-0156b1936a76_Name">
    <vt:lpwstr>Notclass</vt:lpwstr>
  </property>
  <property fmtid="{D5CDD505-2E9C-101B-9397-08002B2CF9AE}" pid="6" name="MSIP_Label_6a2630e2-1ac5-455e-8217-0156b1936a76_SiteId">
    <vt:lpwstr>a3927f91-cda1-4696-af89-8c9f1ceffa91</vt:lpwstr>
  </property>
  <property fmtid="{D5CDD505-2E9C-101B-9397-08002B2CF9AE}" pid="7" name="MSIP_Label_6a2630e2-1ac5-455e-8217-0156b1936a76_ActionId">
    <vt:lpwstr>3e5b6904-0814-4e16-bfbf-d9c685542bd8</vt:lpwstr>
  </property>
  <property fmtid="{D5CDD505-2E9C-101B-9397-08002B2CF9AE}" pid="8" name="MSIP_Label_6a2630e2-1ac5-455e-8217-0156b1936a76_ContentBits">
    <vt:lpwstr>0</vt:lpwstr>
  </property>
</Properties>
</file>