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86 paper FGF8 hypothesis figures\Review commons\Source data files\"/>
    </mc:Choice>
  </mc:AlternateContent>
  <xr:revisionPtr revIDLastSave="0" documentId="13_ncr:1_{1804EDDA-42EC-4277-873D-16ACD306FE9C}" xr6:coauthVersionLast="47" xr6:coauthVersionMax="47" xr10:uidLastSave="{00000000-0000-0000-0000-000000000000}"/>
  <bookViews>
    <workbookView xWindow="-120" yWindow="-120" windowWidth="29040" windowHeight="15840" xr2:uid="{B2E7F743-36A7-442E-8DE3-0328C427ECB3}"/>
  </bookViews>
  <sheets>
    <sheet name="15TRIS DAY5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" i="1" l="1"/>
  <c r="AB6" i="1"/>
  <c r="AA5" i="1"/>
  <c r="AB5" i="1"/>
  <c r="Z6" i="1"/>
  <c r="Z5" i="1"/>
  <c r="O11" i="1"/>
  <c r="P11" i="1"/>
  <c r="N11" i="1"/>
  <c r="O10" i="1"/>
  <c r="P10" i="1"/>
  <c r="N10" i="1"/>
  <c r="F70" i="1"/>
  <c r="E70" i="1" s="1"/>
  <c r="F69" i="1"/>
  <c r="D69" i="1" s="1"/>
  <c r="E69" i="1"/>
  <c r="J69" i="1" s="1"/>
  <c r="F68" i="1"/>
  <c r="F67" i="1"/>
  <c r="F66" i="1"/>
  <c r="E66" i="1" s="1"/>
  <c r="I66" i="1" s="1"/>
  <c r="F65" i="1"/>
  <c r="E65" i="1" s="1"/>
  <c r="D66" i="1"/>
  <c r="D65" i="1"/>
  <c r="D68" i="1"/>
  <c r="D70" i="1"/>
  <c r="V5" i="1"/>
  <c r="W5" i="1"/>
  <c r="U5" i="1"/>
  <c r="F64" i="1"/>
  <c r="E64" i="1" s="1"/>
  <c r="J64" i="1" s="1"/>
  <c r="F63" i="1"/>
  <c r="E63" i="1" s="1"/>
  <c r="F62" i="1"/>
  <c r="E62" i="1" s="1"/>
  <c r="K62" i="1" s="1"/>
  <c r="F61" i="1"/>
  <c r="D61" i="1" s="1"/>
  <c r="F60" i="1"/>
  <c r="D60" i="1" s="1"/>
  <c r="E60" i="1"/>
  <c r="F59" i="1"/>
  <c r="D59" i="1" s="1"/>
  <c r="D64" i="1"/>
  <c r="D63" i="1"/>
  <c r="D62" i="1"/>
  <c r="F34" i="1"/>
  <c r="F33" i="1"/>
  <c r="E33" i="1" s="1"/>
  <c r="F32" i="1"/>
  <c r="D32" i="1" s="1"/>
  <c r="F31" i="1"/>
  <c r="D31" i="1" s="1"/>
  <c r="F30" i="1"/>
  <c r="D30" i="1" s="1"/>
  <c r="F29" i="1"/>
  <c r="E32" i="1"/>
  <c r="E31" i="1"/>
  <c r="E29" i="1"/>
  <c r="K29" i="1" s="1"/>
  <c r="D34" i="1"/>
  <c r="D33" i="1"/>
  <c r="D29" i="1"/>
  <c r="F58" i="1"/>
  <c r="E58" i="1"/>
  <c r="D58" i="1"/>
  <c r="I58" i="1" s="1"/>
  <c r="F57" i="1"/>
  <c r="E57" i="1" s="1"/>
  <c r="F56" i="1"/>
  <c r="E56" i="1" s="1"/>
  <c r="D56" i="1"/>
  <c r="F55" i="1"/>
  <c r="E55" i="1" s="1"/>
  <c r="J55" i="1" s="1"/>
  <c r="D55" i="1"/>
  <c r="F54" i="1"/>
  <c r="E54" i="1"/>
  <c r="D54" i="1"/>
  <c r="I54" i="1" s="1"/>
  <c r="F53" i="1"/>
  <c r="E53" i="1"/>
  <c r="D53" i="1"/>
  <c r="J53" i="1"/>
  <c r="I5" i="1"/>
  <c r="F28" i="1"/>
  <c r="E28" i="1"/>
  <c r="D28" i="1"/>
  <c r="I28" i="1" s="1"/>
  <c r="F27" i="1"/>
  <c r="E27" i="1" s="1"/>
  <c r="D27" i="1"/>
  <c r="F26" i="1"/>
  <c r="D26" i="1"/>
  <c r="F25" i="1"/>
  <c r="E25" i="1" s="1"/>
  <c r="F24" i="1"/>
  <c r="E24" i="1"/>
  <c r="J24" i="1" s="1"/>
  <c r="D24" i="1"/>
  <c r="F23" i="1"/>
  <c r="E23" i="1" s="1"/>
  <c r="I23" i="1" s="1"/>
  <c r="D23" i="1"/>
  <c r="D18" i="1"/>
  <c r="J18" i="1" s="1"/>
  <c r="F52" i="1"/>
  <c r="E52" i="1" s="1"/>
  <c r="F51" i="1"/>
  <c r="E51" i="1" s="1"/>
  <c r="D51" i="1"/>
  <c r="F50" i="1"/>
  <c r="E50" i="1"/>
  <c r="D50" i="1"/>
  <c r="F49" i="1"/>
  <c r="E49" i="1" s="1"/>
  <c r="J49" i="1" s="1"/>
  <c r="D49" i="1"/>
  <c r="K49" i="1" s="1"/>
  <c r="F48" i="1"/>
  <c r="E48" i="1" s="1"/>
  <c r="D48" i="1"/>
  <c r="F47" i="1"/>
  <c r="E47" i="1" s="1"/>
  <c r="D47" i="1"/>
  <c r="F22" i="1"/>
  <c r="K22" i="1" s="1"/>
  <c r="E22" i="1"/>
  <c r="J22" i="1" s="1"/>
  <c r="D22" i="1"/>
  <c r="F21" i="1"/>
  <c r="E21" i="1" s="1"/>
  <c r="D21" i="1"/>
  <c r="F20" i="1"/>
  <c r="E20" i="1"/>
  <c r="D20" i="1"/>
  <c r="F19" i="1"/>
  <c r="E19" i="1" s="1"/>
  <c r="D19" i="1"/>
  <c r="F18" i="1"/>
  <c r="E18" i="1"/>
  <c r="F17" i="1"/>
  <c r="E17" i="1" s="1"/>
  <c r="D17" i="1"/>
  <c r="F46" i="1"/>
  <c r="E46" i="1" s="1"/>
  <c r="F45" i="1"/>
  <c r="E45" i="1"/>
  <c r="D45" i="1"/>
  <c r="F44" i="1"/>
  <c r="E44" i="1"/>
  <c r="D44" i="1"/>
  <c r="J44" i="1" s="1"/>
  <c r="F43" i="1"/>
  <c r="E43" i="1" s="1"/>
  <c r="F42" i="1"/>
  <c r="E42" i="1" s="1"/>
  <c r="F41" i="1"/>
  <c r="E41" i="1"/>
  <c r="D41" i="1"/>
  <c r="I22" i="1"/>
  <c r="K24" i="1"/>
  <c r="I35" i="1"/>
  <c r="J35" i="1"/>
  <c r="K35" i="1"/>
  <c r="I36" i="1"/>
  <c r="J36" i="1"/>
  <c r="K36" i="1"/>
  <c r="I37" i="1"/>
  <c r="J37" i="1"/>
  <c r="K37" i="1"/>
  <c r="I38" i="1"/>
  <c r="J38" i="1"/>
  <c r="K38" i="1"/>
  <c r="I39" i="1"/>
  <c r="J39" i="1"/>
  <c r="K39" i="1"/>
  <c r="I40" i="1"/>
  <c r="J40" i="1"/>
  <c r="K40" i="1"/>
  <c r="I50" i="1"/>
  <c r="K53" i="1"/>
  <c r="I6" i="1"/>
  <c r="J6" i="1"/>
  <c r="K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J5" i="1"/>
  <c r="K5" i="1"/>
  <c r="F16" i="1"/>
  <c r="E16" i="1"/>
  <c r="D16" i="1"/>
  <c r="F15" i="1"/>
  <c r="E15" i="1" s="1"/>
  <c r="D15" i="1"/>
  <c r="F14" i="1"/>
  <c r="E14" i="1"/>
  <c r="D14" i="1"/>
  <c r="F13" i="1"/>
  <c r="E13" i="1" s="1"/>
  <c r="F12" i="1"/>
  <c r="D12" i="1"/>
  <c r="F11" i="1"/>
  <c r="E11" i="1"/>
  <c r="D11" i="1"/>
  <c r="F40" i="1"/>
  <c r="E40" i="1" s="1"/>
  <c r="D40" i="1"/>
  <c r="F39" i="1"/>
  <c r="D39" i="1" s="1"/>
  <c r="E39" i="1"/>
  <c r="F38" i="1"/>
  <c r="E38" i="1" s="1"/>
  <c r="D38" i="1"/>
  <c r="F37" i="1"/>
  <c r="E37" i="1" s="1"/>
  <c r="F36" i="1"/>
  <c r="D36" i="1" s="1"/>
  <c r="F35" i="1"/>
  <c r="E35" i="1" s="1"/>
  <c r="D37" i="1"/>
  <c r="D35" i="1"/>
  <c r="F10" i="1"/>
  <c r="E10" i="1"/>
  <c r="D10" i="1"/>
  <c r="F9" i="1"/>
  <c r="D9" i="1" s="1"/>
  <c r="E8" i="1"/>
  <c r="F8" i="1"/>
  <c r="D8" i="1" s="1"/>
  <c r="D7" i="1"/>
  <c r="E7" i="1"/>
  <c r="F7" i="1"/>
  <c r="D6" i="1"/>
  <c r="E6" i="1"/>
  <c r="E5" i="1"/>
  <c r="D5" i="1"/>
  <c r="F5" i="1"/>
  <c r="I70" i="1" l="1"/>
  <c r="I69" i="1"/>
  <c r="K69" i="1"/>
  <c r="K68" i="1"/>
  <c r="E68" i="1"/>
  <c r="J68" i="1" s="1"/>
  <c r="D67" i="1"/>
  <c r="K67" i="1" s="1"/>
  <c r="E67" i="1"/>
  <c r="I67" i="1" s="1"/>
  <c r="J65" i="1"/>
  <c r="I65" i="1"/>
  <c r="K65" i="1"/>
  <c r="I68" i="1"/>
  <c r="K70" i="1"/>
  <c r="J70" i="1"/>
  <c r="K66" i="1"/>
  <c r="J66" i="1"/>
  <c r="E61" i="1"/>
  <c r="K61" i="1" s="1"/>
  <c r="E59" i="1"/>
  <c r="K59" i="1" s="1"/>
  <c r="I64" i="1"/>
  <c r="K64" i="1"/>
  <c r="K63" i="1"/>
  <c r="I62" i="1"/>
  <c r="I61" i="1"/>
  <c r="I60" i="1"/>
  <c r="J63" i="1"/>
  <c r="I63" i="1"/>
  <c r="J62" i="1"/>
  <c r="J61" i="1"/>
  <c r="K60" i="1"/>
  <c r="J60" i="1"/>
  <c r="I59" i="1"/>
  <c r="J33" i="1"/>
  <c r="E34" i="1"/>
  <c r="I34" i="1" s="1"/>
  <c r="P5" i="1"/>
  <c r="N5" i="1"/>
  <c r="E30" i="1"/>
  <c r="J30" i="1" s="1"/>
  <c r="I32" i="1"/>
  <c r="J31" i="1"/>
  <c r="J29" i="1"/>
  <c r="O5" i="1"/>
  <c r="I29" i="1"/>
  <c r="K34" i="1"/>
  <c r="K33" i="1"/>
  <c r="I33" i="1"/>
  <c r="K32" i="1"/>
  <c r="J32" i="1"/>
  <c r="K31" i="1"/>
  <c r="I31" i="1"/>
  <c r="K30" i="1"/>
  <c r="J58" i="1"/>
  <c r="K58" i="1"/>
  <c r="D57" i="1"/>
  <c r="K57" i="1"/>
  <c r="J57" i="1"/>
  <c r="I57" i="1"/>
  <c r="J56" i="1"/>
  <c r="I56" i="1"/>
  <c r="K56" i="1"/>
  <c r="K55" i="1"/>
  <c r="I55" i="1"/>
  <c r="J54" i="1"/>
  <c r="N6" i="1"/>
  <c r="P6" i="1"/>
  <c r="K54" i="1"/>
  <c r="I53" i="1"/>
  <c r="K28" i="1"/>
  <c r="J28" i="1"/>
  <c r="J27" i="1"/>
  <c r="K27" i="1"/>
  <c r="I27" i="1"/>
  <c r="E26" i="1"/>
  <c r="K26" i="1" s="1"/>
  <c r="D25" i="1"/>
  <c r="I25" i="1" s="1"/>
  <c r="K25" i="1"/>
  <c r="J25" i="1"/>
  <c r="I24" i="1"/>
  <c r="K23" i="1"/>
  <c r="J23" i="1"/>
  <c r="K18" i="1"/>
  <c r="D52" i="1"/>
  <c r="J52" i="1" s="1"/>
  <c r="K52" i="1"/>
  <c r="I52" i="1"/>
  <c r="I51" i="1"/>
  <c r="J51" i="1"/>
  <c r="K51" i="1"/>
  <c r="J50" i="1"/>
  <c r="K50" i="1"/>
  <c r="I49" i="1"/>
  <c r="K48" i="1"/>
  <c r="J48" i="1"/>
  <c r="I48" i="1"/>
  <c r="I47" i="1"/>
  <c r="J47" i="1"/>
  <c r="K47" i="1"/>
  <c r="J21" i="1"/>
  <c r="K21" i="1"/>
  <c r="I21" i="1"/>
  <c r="I20" i="1"/>
  <c r="K20" i="1"/>
  <c r="J20" i="1"/>
  <c r="I19" i="1"/>
  <c r="K19" i="1"/>
  <c r="J19" i="1"/>
  <c r="I18" i="1"/>
  <c r="I17" i="1"/>
  <c r="K17" i="1"/>
  <c r="J17" i="1"/>
  <c r="J46" i="1"/>
  <c r="D46" i="1"/>
  <c r="I46" i="1" s="1"/>
  <c r="K46" i="1"/>
  <c r="I45" i="1"/>
  <c r="K45" i="1"/>
  <c r="J45" i="1"/>
  <c r="I44" i="1"/>
  <c r="K44" i="1"/>
  <c r="K43" i="1"/>
  <c r="D43" i="1"/>
  <c r="J43" i="1"/>
  <c r="I43" i="1"/>
  <c r="D42" i="1"/>
  <c r="K41" i="1"/>
  <c r="I41" i="1"/>
  <c r="J41" i="1"/>
  <c r="D13" i="1"/>
  <c r="E12" i="1"/>
  <c r="E36" i="1"/>
  <c r="E9" i="1"/>
  <c r="J67" i="1" l="1"/>
  <c r="V6" i="1" s="1"/>
  <c r="O6" i="1"/>
  <c r="U6" i="1"/>
  <c r="W6" i="1"/>
  <c r="J59" i="1"/>
  <c r="J34" i="1"/>
  <c r="I30" i="1"/>
  <c r="J26" i="1"/>
  <c r="I26" i="1"/>
  <c r="I42" i="1"/>
  <c r="K42" i="1"/>
  <c r="J42" i="1"/>
</calcChain>
</file>

<file path=xl/sharedStrings.xml><?xml version="1.0" encoding="utf-8"?>
<sst xmlns="http://schemas.openxmlformats.org/spreadsheetml/2006/main" count="36" uniqueCount="14">
  <si>
    <t>WNTi</t>
  </si>
  <si>
    <t>WNTi+FGF8</t>
  </si>
  <si>
    <t>15TRIS DAY53</t>
  </si>
  <si>
    <t>CTIP2+</t>
  </si>
  <si>
    <t>TBR1+</t>
  </si>
  <si>
    <t>CTIP2+ TBR1+</t>
  </si>
  <si>
    <t>N° images</t>
  </si>
  <si>
    <t>Faire des carrés de 500px a disposer sur le DAPI. En faire 6 et poser dans le sens horaire sur le bord de l'organoide</t>
  </si>
  <si>
    <t>%</t>
  </si>
  <si>
    <t>moyenne</t>
  </si>
  <si>
    <t>%moyenne</t>
  </si>
  <si>
    <t>ERR</t>
  </si>
  <si>
    <t>WNTi organoids</t>
  </si>
  <si>
    <t>WNTi+FGF8 organoids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</si>
</sst>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7" xfId="0" applyBorder="1"/>
    <xf numFmtId="0" fontId="2" fillId="0" borderId="7" xfId="0" applyFont="1" applyBorder="1"/>
    <xf numFmtId="0" fontId="1" fillId="0" borderId="7" xfId="0" applyFont="1" applyBorder="1"/>
    <xf numFmtId="0" fontId="3" fillId="0" borderId="7" xfId="0" applyFont="1" applyBorder="1"/>
    <xf numFmtId="0" fontId="0" fillId="0" borderId="0" xfId="0" applyAlignment="1">
      <alignment vertical="center"/>
    </xf>
    <xf numFmtId="0" fontId="0" fillId="0" borderId="3" xfId="0" applyBorder="1"/>
    <xf numFmtId="164" fontId="0" fillId="0" borderId="0" xfId="0" applyNumberFormat="1"/>
    <xf numFmtId="2" fontId="0" fillId="0" borderId="0" xfId="0" applyNumberFormat="1"/>
    <xf numFmtId="0" fontId="0" fillId="0" borderId="10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TBR1/CTIP2 positive cells at day53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'15TRIS DAY53'!$N$4</c:f>
              <c:strCache>
                <c:ptCount val="1"/>
                <c:pt idx="0">
                  <c:v>CTIP2+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'15TRIS DAY53'!$N$10:$N$11</c:f>
                <c:numCache>
                  <c:formatCode>General</c:formatCode>
                  <c:ptCount val="2"/>
                  <c:pt idx="0">
                    <c:v>4.0064555187540503</c:v>
                  </c:pt>
                  <c:pt idx="1">
                    <c:v>5.8116073113594142</c:v>
                  </c:pt>
                </c:numCache>
              </c:numRef>
            </c:plus>
            <c:minus>
              <c:numRef>
                <c:f>'15TRIS DAY53'!$N$10:$N$11</c:f>
                <c:numCache>
                  <c:formatCode>General</c:formatCode>
                  <c:ptCount val="2"/>
                  <c:pt idx="0">
                    <c:v>4.0064555187540503</c:v>
                  </c:pt>
                  <c:pt idx="1">
                    <c:v>5.8116073113594142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'15TRIS DAY53'!$M$5:$M$6</c:f>
              <c:strCache>
                <c:ptCount val="2"/>
                <c:pt idx="0">
                  <c:v>WNTi</c:v>
                </c:pt>
                <c:pt idx="1">
                  <c:v>WNTi+FGF8</c:v>
                </c:pt>
              </c:strCache>
            </c:strRef>
          </c:cat>
          <c:val>
            <c:numRef>
              <c:f>'15TRIS DAY53'!$N$5:$N$6</c:f>
              <c:numCache>
                <c:formatCode>0.00</c:formatCode>
                <c:ptCount val="2"/>
                <c:pt idx="0">
                  <c:v>39.033333333333331</c:v>
                </c:pt>
                <c:pt idx="1">
                  <c:v>52.222222222222221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0-4884-AF33-0C1566386601}"/>
            </c:ext>
          </c:extLst>
        </c:ser>
        <c:ser>
          <c:idx val="1"/>
          <c:order val="1"/>
          <c:tx>
            <c:strRef>
              <c:f>'15TRIS DAY53'!$O$4</c:f>
              <c:strCache>
                <c:ptCount val="1"/>
                <c:pt idx="0">
                  <c:v>TBR1+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'15TRIS DAY53'!$O$10:$O$11</c:f>
                <c:numCache>
                  <c:formatCode>General</c:formatCode>
                  <c:ptCount val="2"/>
                  <c:pt idx="0">
                    <c:v>2.4379581306378695</c:v>
                  </c:pt>
                  <c:pt idx="1">
                    <c:v>4.3121480507152663</c:v>
                  </c:pt>
                </c:numCache>
              </c:numRef>
            </c:plus>
            <c:minus>
              <c:numRef>
                <c:f>'15TRIS DAY53'!$O$10:$O$11</c:f>
                <c:numCache>
                  <c:formatCode>General</c:formatCode>
                  <c:ptCount val="2"/>
                  <c:pt idx="0">
                    <c:v>2.4379581306378695</c:v>
                  </c:pt>
                  <c:pt idx="1">
                    <c:v>4.3121480507152663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'15TRIS DAY53'!$M$5:$M$6</c:f>
              <c:strCache>
                <c:ptCount val="2"/>
                <c:pt idx="0">
                  <c:v>WNTi</c:v>
                </c:pt>
                <c:pt idx="1">
                  <c:v>WNTi+FGF8</c:v>
                </c:pt>
              </c:strCache>
            </c:strRef>
          </c:cat>
          <c:val>
            <c:numRef>
              <c:f>'15TRIS DAY53'!$O$5:$O$6</c:f>
              <c:numCache>
                <c:formatCode>0.00</c:formatCode>
                <c:ptCount val="2"/>
                <c:pt idx="0">
                  <c:v>19.633333333333333</c:v>
                </c:pt>
                <c:pt idx="1">
                  <c:v>30.722222222222221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40-4884-AF33-0C1566386601}"/>
            </c:ext>
          </c:extLst>
        </c:ser>
        <c:ser>
          <c:idx val="2"/>
          <c:order val="2"/>
          <c:tx>
            <c:strRef>
              <c:f>'15TRIS DAY53'!$P$4</c:f>
              <c:strCache>
                <c:ptCount val="1"/>
                <c:pt idx="0">
                  <c:v>CTIP2+ TBR1+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'15TRIS DAY53'!$P$10:$P$11</c:f>
                <c:numCache>
                  <c:formatCode>General</c:formatCode>
                  <c:ptCount val="2"/>
                  <c:pt idx="0">
                    <c:v>8.3518438095522995</c:v>
                  </c:pt>
                  <c:pt idx="1">
                    <c:v>2.4609247842327067</c:v>
                  </c:pt>
                </c:numCache>
              </c:numRef>
            </c:plus>
            <c:minus>
              <c:numRef>
                <c:f>'15TRIS DAY53'!$P$10:$P$11</c:f>
                <c:numCache>
                  <c:formatCode>General</c:formatCode>
                  <c:ptCount val="2"/>
                  <c:pt idx="0">
                    <c:v>8.3518438095522995</c:v>
                  </c:pt>
                  <c:pt idx="1">
                    <c:v>2.4609247842327067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'15TRIS DAY53'!$M$5:$M$6</c:f>
              <c:strCache>
                <c:ptCount val="2"/>
                <c:pt idx="0">
                  <c:v>WNTi</c:v>
                </c:pt>
                <c:pt idx="1">
                  <c:v>WNTi+FGF8</c:v>
                </c:pt>
              </c:strCache>
            </c:strRef>
          </c:cat>
          <c:val>
            <c:numRef>
              <c:f>'15TRIS DAY53'!$P$5:$P$6</c:f>
              <c:numCache>
                <c:formatCode>0.00</c:formatCode>
                <c:ptCount val="2"/>
                <c:pt idx="0">
                  <c:v>78.233333333333334</c:v>
                </c:pt>
                <c:pt idx="1">
                  <c:v>13.916666666666666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F-4706-A578-9B3110F62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122196864"/>
        <c:axId val="1122205984"/>
      </c:barChart>
      <c:catAx>
        <c:axId val="11221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205984"/>
        <c:crosses val="autoZero"/>
        <c:auto val="1"/>
        <c:lblAlgn val="ctr"/>
        <c:lblOffset val="100"/>
        <c:noMultiLvlLbl val="0"/>
      </c:catAx>
      <c:valAx>
        <c:axId val="11222059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635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19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of positives cells in organoids at D53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'15TRIS DAY53'!$T$5</c:f>
              <c:strCache>
                <c:ptCount val="1"/>
                <c:pt idx="0">
                  <c:v>WNTi organoids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'15TRIS DAY53'!$Z$5:$AB$5</c:f>
                <c:numCache>
                  <c:formatCode>General</c:formatCode>
                  <c:ptCount val="3"/>
                  <c:pt idx="0">
                    <c:v>3.6028674363471596</c:v>
                  </c:pt>
                  <c:pt idx="1">
                    <c:v>1.446697858109468</c:v>
                  </c:pt>
                  <c:pt idx="2">
                    <c:v>3.6044094493690761</c:v>
                  </c:pt>
                </c:numCache>
              </c:numRef>
            </c:plus>
            <c:minus>
              <c:numRef>
                <c:f>'15TRIS DAY53'!$Z$5:$AB$5</c:f>
                <c:numCache>
                  <c:formatCode>General</c:formatCode>
                  <c:ptCount val="3"/>
                  <c:pt idx="0">
                    <c:v>3.6028674363471596</c:v>
                  </c:pt>
                  <c:pt idx="1">
                    <c:v>1.446697858109468</c:v>
                  </c:pt>
                  <c:pt idx="2">
                    <c:v>3.6044094493690761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'15TRIS DAY53'!$U$4:$W$4</c:f>
              <c:strCache>
                <c:ptCount val="3"/>
                <c:pt idx="0">
                  <c:v>CTIP2+</c:v>
                </c:pt>
                <c:pt idx="1">
                  <c:v>TBR1+</c:v>
                </c:pt>
                <c:pt idx="2">
                  <c:v>CTIP2+ TBR1+</c:v>
                </c:pt>
              </c:strCache>
            </c:strRef>
          </c:cat>
          <c:val>
            <c:numRef>
              <c:f>'15TRIS DAY53'!$U$5:$W$5</c:f>
              <c:numCache>
                <c:formatCode>0.00</c:formatCode>
                <c:ptCount val="3"/>
                <c:pt idx="0">
                  <c:v>32.047343740879576</c:v>
                </c:pt>
                <c:pt idx="1">
                  <c:v>13.789661463980927</c:v>
                </c:pt>
                <c:pt idx="2">
                  <c:v>54.162994795139511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8-4D83-9EDA-77A4344F6632}"/>
            </c:ext>
          </c:extLst>
        </c:ser>
        <c:ser>
          <c:idx val="1"/>
          <c:order val="1"/>
          <c:tx>
            <c:strRef>
              <c:f>'15TRIS DAY53'!$T$6</c:f>
              <c:strCache>
                <c:ptCount val="1"/>
                <c:pt idx="0">
                  <c:v>WNTi+FGF8 organoids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'15TRIS DAY53'!$Z$6:$AB$6</c:f>
                <c:numCache>
                  <c:formatCode>General</c:formatCode>
                  <c:ptCount val="3"/>
                  <c:pt idx="0">
                    <c:v>4.3405079124067028</c:v>
                  </c:pt>
                  <c:pt idx="1">
                    <c:v>4.303134815880111</c:v>
                  </c:pt>
                  <c:pt idx="2">
                    <c:v>2.1814266824826669</c:v>
                  </c:pt>
                </c:numCache>
              </c:numRef>
            </c:plus>
            <c:minus>
              <c:numRef>
                <c:f>'15TRIS DAY53'!$Z$6:$AB$6</c:f>
                <c:numCache>
                  <c:formatCode>General</c:formatCode>
                  <c:ptCount val="3"/>
                  <c:pt idx="0">
                    <c:v>4.3405079124067028</c:v>
                  </c:pt>
                  <c:pt idx="1">
                    <c:v>4.303134815880111</c:v>
                  </c:pt>
                  <c:pt idx="2">
                    <c:v>2.1814266824826669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'15TRIS DAY53'!$U$4:$W$4</c:f>
              <c:strCache>
                <c:ptCount val="3"/>
                <c:pt idx="0">
                  <c:v>CTIP2+</c:v>
                </c:pt>
                <c:pt idx="1">
                  <c:v>TBR1+</c:v>
                </c:pt>
                <c:pt idx="2">
                  <c:v>CTIP2+ TBR1+</c:v>
                </c:pt>
              </c:strCache>
            </c:strRef>
          </c:cat>
          <c:val>
            <c:numRef>
              <c:f>'15TRIS DAY53'!$U$6:$W$6</c:f>
              <c:numCache>
                <c:formatCode>0.00</c:formatCode>
                <c:ptCount val="3"/>
                <c:pt idx="0">
                  <c:v>51.84389964832819</c:v>
                </c:pt>
                <c:pt idx="1">
                  <c:v>34.830177966423122</c:v>
                </c:pt>
                <c:pt idx="2">
                  <c:v>13.325922385248681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8-4D83-9EDA-77A4344F6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9141535"/>
        <c:axId val="1039149695"/>
      </c:barChart>
      <c:catAx>
        <c:axId val="1039141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149695"/>
        <c:crosses val="autoZero"/>
        <c:auto val="1"/>
        <c:lblAlgn val="ctr"/>
        <c:lblOffset val="100"/>
        <c:noMultiLvlLbl val="0"/>
      </c:catAx>
      <c:valAx>
        <c:axId val="1039149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141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Cells population on WNTi organoids at D53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'15TRIS DAY53'!$T$5</c:f>
              <c:strCache>
                <c:ptCount val="1"/>
                <c:pt idx="0">
                  <c:v>WNTi organoids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D5E-4DFC-9E8D-AB9DD8E1C94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D5E-4DFC-9E8D-AB9DD8E1C94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D5E-4DFC-9E8D-AB9DD8E1C9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'15TRIS DAY53'!$U$4:$W$4</c:f>
              <c:strCache>
                <c:ptCount val="3"/>
                <c:pt idx="0">
                  <c:v>CTIP2+</c:v>
                </c:pt>
                <c:pt idx="1">
                  <c:v>TBR1+</c:v>
                </c:pt>
                <c:pt idx="2">
                  <c:v>CTIP2+ TBR1+</c:v>
                </c:pt>
              </c:strCache>
            </c:strRef>
          </c:cat>
          <c:val>
            <c:numRef>
              <c:f>'15TRIS DAY53'!$U$5:$W$5</c:f>
              <c:numCache>
                <c:formatCode>0.00</c:formatCode>
                <c:ptCount val="3"/>
                <c:pt idx="0">
                  <c:v>32.047343740879576</c:v>
                </c:pt>
                <c:pt idx="1">
                  <c:v>13.789661463980927</c:v>
                </c:pt>
                <c:pt idx="2">
                  <c:v>54.162994795139511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3-4089-A84A-117F4ACC9971}"/>
            </c:ext>
          </c:extLst>
        </c:ser>
        <c:ser>
          <c:idx val="1"/>
          <c:order val="1"/>
          <c:tx>
            <c:strRef>
              <c:f>'15TRIS DAY53'!$T$6</c:f>
              <c:strCache>
                <c:ptCount val="1"/>
                <c:pt idx="0">
                  <c:v>WNTi+FGF8 organoids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D5E-4DFC-9E8D-AB9DD8E1C9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D5E-4DFC-9E8D-AB9DD8E1C9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D5E-4DFC-9E8D-AB9DD8E1C9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'15TRIS DAY53'!$U$4:$W$4</c:f>
              <c:strCache>
                <c:ptCount val="3"/>
                <c:pt idx="0">
                  <c:v>CTIP2+</c:v>
                </c:pt>
                <c:pt idx="1">
                  <c:v>TBR1+</c:v>
                </c:pt>
                <c:pt idx="2">
                  <c:v>CTIP2+ TBR1+</c:v>
                </c:pt>
              </c:strCache>
            </c:strRef>
          </c:cat>
          <c:val>
            <c:numRef>
              <c:f>'15TRIS DAY53'!$U$6:$W$6</c:f>
              <c:numCache>
                <c:formatCode>0.00</c:formatCode>
                <c:ptCount val="3"/>
                <c:pt idx="0">
                  <c:v>51.84389964832819</c:v>
                </c:pt>
                <c:pt idx="1">
                  <c:v>34.830177966423122</c:v>
                </c:pt>
                <c:pt idx="2">
                  <c:v>13.325922385248681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A3-4089-A84A-117F4ACC997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Cells population on </a:t>
            </a:r>
            <a:r>
              <a:rPr lang="fr-FR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WNTi+FGF8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organoids at D53</a:t>
            </a:r>
            <a:endParaRPr lang="fr-FR" sz="18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'15TRIS DAY53'!$T$6</c:f>
              <c:strCache>
                <c:ptCount val="1"/>
                <c:pt idx="0">
                  <c:v>WNTi+FGF8 organoids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ABD-498D-8B37-4D83879A57EB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ABD-498D-8B37-4D83879A57E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ABD-498D-8B37-4D83879A57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'15TRIS DAY53'!$U$4:$W$4</c:f>
              <c:strCache>
                <c:ptCount val="3"/>
                <c:pt idx="0">
                  <c:v>CTIP2+</c:v>
                </c:pt>
                <c:pt idx="1">
                  <c:v>TBR1+</c:v>
                </c:pt>
                <c:pt idx="2">
                  <c:v>CTIP2+ TBR1+</c:v>
                </c:pt>
              </c:strCache>
            </c:strRef>
          </c:cat>
          <c:val>
            <c:numRef>
              <c:f>'15TRIS DAY53'!$U$6:$W$6</c:f>
              <c:numCache>
                <c:formatCode>0.00</c:formatCode>
                <c:ptCount val="3"/>
                <c:pt idx="0">
                  <c:v>51.84389964832819</c:v>
                </c:pt>
                <c:pt idx="1">
                  <c:v>34.830177966423122</c:v>
                </c:pt>
                <c:pt idx="2">
                  <c:v>13.325922385248681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E-47EC-9DFA-6BC17E6AC32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68658</xdr:colOff>
      <xdr:row>15</xdr:row>
      <xdr:rowOff>107846</xdr:rowOff>
    </xdr:from>
    <xdr:to>
      <xdr:col>16</xdr:col>
      <xdr:colOff>78467</xdr:colOff>
      <xdr:row>37</xdr:row>
      <xdr:rowOff>16783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C7DE988-668D-A2D6-1E10-D47B272CC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297656</xdr:colOff>
      <xdr:row>6</xdr:row>
      <xdr:rowOff>122700</xdr:rowOff>
    </xdr:from>
    <xdr:to>
      <xdr:col>24</xdr:col>
      <xdr:colOff>95249</xdr:colOff>
      <xdr:row>22</xdr:row>
      <xdr:rowOff>45698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7479651-61AE-BDBE-D9B4-39994C1DB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38554</xdr:colOff>
      <xdr:row>22</xdr:row>
      <xdr:rowOff>77569</xdr:rowOff>
    </xdr:from>
    <xdr:to>
      <xdr:col>21</xdr:col>
      <xdr:colOff>503464</xdr:colOff>
      <xdr:row>40</xdr:row>
      <xdr:rowOff>40821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1FCE1414-8E6B-AB0E-2B04-389D3EBBD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524330</xdr:colOff>
      <xdr:row>22</xdr:row>
      <xdr:rowOff>67583</xdr:rowOff>
    </xdr:from>
    <xdr:to>
      <xdr:col>25</xdr:col>
      <xdr:colOff>190500</xdr:colOff>
      <xdr:row>40</xdr:row>
      <xdr:rowOff>68036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3E378343-4DA6-E988-0CF9-4B4AC29C3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7B929-2ACE-4D3F-956E-8092F3648C03}">
  <dimension ref="A1:AB70"/>
  <sheetViews>
    <sheetView tabSelected="1" zoomScale="70" zoomScaleNormal="7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Q40" sqref="Q40"/>
    </sheetView>
  </sheetViews>
  <sheetFormatPr defaultColWidth="11.42578125" defaultRowHeight="15" x14ac:dyDescent="0.25"/>
  <cols>
    <col min="3" max="3" width="10.85546875" style="5"/>
  </cols>
  <sheetData>
    <row r="1" spans="1:28" x14ac:dyDescent="0.25">
      <c r="B1" s="17" t="s">
        <v>7</v>
      </c>
      <c r="C1" s="17"/>
      <c r="D1" s="17"/>
      <c r="E1" s="17"/>
      <c r="F1" s="17"/>
      <c r="G1" s="17"/>
      <c r="H1" s="17"/>
      <c r="I1" s="17"/>
      <c r="J1" s="17"/>
    </row>
    <row r="2" spans="1:28" x14ac:dyDescent="0.25">
      <c r="B2" s="17"/>
      <c r="C2" s="17"/>
      <c r="D2" s="17"/>
      <c r="E2" s="17"/>
      <c r="F2" s="17"/>
      <c r="G2" s="17"/>
      <c r="H2" s="17"/>
      <c r="I2" s="17"/>
      <c r="J2" s="17"/>
    </row>
    <row r="4" spans="1:28" x14ac:dyDescent="0.25">
      <c r="C4" s="5" t="s">
        <v>6</v>
      </c>
      <c r="D4" s="2" t="s">
        <v>3</v>
      </c>
      <c r="E4" s="3" t="s">
        <v>4</v>
      </c>
      <c r="F4" s="4" t="s">
        <v>5</v>
      </c>
      <c r="H4" t="s">
        <v>8</v>
      </c>
      <c r="I4" s="2" t="s">
        <v>3</v>
      </c>
      <c r="J4" s="3" t="s">
        <v>4</v>
      </c>
      <c r="K4" s="4" t="s">
        <v>5</v>
      </c>
      <c r="M4" t="s">
        <v>9</v>
      </c>
      <c r="N4" s="2" t="s">
        <v>3</v>
      </c>
      <c r="O4" s="3" t="s">
        <v>4</v>
      </c>
      <c r="P4" s="4" t="s">
        <v>5</v>
      </c>
      <c r="T4" t="s">
        <v>10</v>
      </c>
      <c r="U4" s="2" t="s">
        <v>3</v>
      </c>
      <c r="V4" s="3" t="s">
        <v>4</v>
      </c>
      <c r="W4" s="4" t="s">
        <v>5</v>
      </c>
      <c r="Y4" t="s">
        <v>11</v>
      </c>
      <c r="Z4" t="s">
        <v>3</v>
      </c>
      <c r="AA4" t="s">
        <v>4</v>
      </c>
      <c r="AB4" t="s">
        <v>5</v>
      </c>
    </row>
    <row r="5" spans="1:28" x14ac:dyDescent="0.25">
      <c r="A5" s="10" t="s">
        <v>2</v>
      </c>
      <c r="B5" s="13" t="s">
        <v>0</v>
      </c>
      <c r="C5" s="18">
        <v>14</v>
      </c>
      <c r="D5" s="6">
        <f>151-F5</f>
        <v>36</v>
      </c>
      <c r="E5" s="6">
        <f>144-F5</f>
        <v>29</v>
      </c>
      <c r="F5" s="6">
        <f>115</f>
        <v>115</v>
      </c>
      <c r="I5" s="7">
        <f>D5/($D5+$E5+$F5)*100</f>
        <v>20</v>
      </c>
      <c r="J5" s="7">
        <f t="shared" ref="J5:K5" si="0">E5/($D5+$E5+$F5)*100</f>
        <v>16.111111111111111</v>
      </c>
      <c r="K5" s="7">
        <f t="shared" si="0"/>
        <v>63.888888888888886</v>
      </c>
      <c r="M5" t="s">
        <v>0</v>
      </c>
      <c r="N5" s="8">
        <f>AVERAGE(D5:D34)</f>
        <v>39.033333333333331</v>
      </c>
      <c r="O5" s="8">
        <f>AVERAGE(E5:E34)</f>
        <v>19.633333333333333</v>
      </c>
      <c r="P5" s="8">
        <f>AVERAGE(F5:F34)</f>
        <v>78.233333333333334</v>
      </c>
      <c r="T5" t="s">
        <v>12</v>
      </c>
      <c r="U5" s="8">
        <f>AVERAGE(I5:I34)</f>
        <v>32.047343740879576</v>
      </c>
      <c r="V5" s="8">
        <f t="shared" ref="V5:W5" si="1">AVERAGE(J5:J34)</f>
        <v>13.789661463980927</v>
      </c>
      <c r="W5" s="8">
        <f t="shared" si="1"/>
        <v>54.162994795139511</v>
      </c>
      <c r="Y5" t="s">
        <v>0</v>
      </c>
      <c r="Z5" s="8">
        <f>_xlfn.STDEV.S(I5:I34)/SQRT(30)</f>
        <v>3.6028674363471596</v>
      </c>
      <c r="AA5" s="8">
        <f t="shared" ref="AA5:AB5" si="2">_xlfn.STDEV.S(J5:J34)/SQRT(30)</f>
        <v>1.446697858109468</v>
      </c>
      <c r="AB5" s="8">
        <f t="shared" si="2"/>
        <v>3.6044094493690761</v>
      </c>
    </row>
    <row r="6" spans="1:28" x14ac:dyDescent="0.25">
      <c r="A6" s="11"/>
      <c r="B6" s="14"/>
      <c r="C6" s="19"/>
      <c r="D6">
        <f>93-F6</f>
        <v>32</v>
      </c>
      <c r="E6">
        <f>81-F6</f>
        <v>20</v>
      </c>
      <c r="F6">
        <v>61</v>
      </c>
      <c r="I6" s="7">
        <f t="shared" ref="I6:I17" si="3">D6/($D6+$E6+$F6)*100</f>
        <v>28.318584070796462</v>
      </c>
      <c r="J6" s="7">
        <f t="shared" ref="J6:J17" si="4">E6/($D6+$E6+$F6)*100</f>
        <v>17.699115044247787</v>
      </c>
      <c r="K6" s="7">
        <f t="shared" ref="K6:K17" si="5">F6/($D6+$E6+$F6)*100</f>
        <v>53.982300884955748</v>
      </c>
      <c r="M6" t="s">
        <v>1</v>
      </c>
      <c r="N6" s="8">
        <f>AVERAGE(D35:D70)</f>
        <v>52.222222222222221</v>
      </c>
      <c r="O6" s="8">
        <f t="shared" ref="O6:P6" si="6">AVERAGE(E35:E70)</f>
        <v>30.722222222222221</v>
      </c>
      <c r="P6" s="8">
        <f t="shared" si="6"/>
        <v>13.916666666666666</v>
      </c>
      <c r="T6" t="s">
        <v>13</v>
      </c>
      <c r="U6" s="8">
        <f>AVERAGE(I35:I70)</f>
        <v>51.84389964832819</v>
      </c>
      <c r="V6" s="8">
        <f t="shared" ref="V6:W6" si="7">AVERAGE(J35:J70)</f>
        <v>34.830177966423122</v>
      </c>
      <c r="W6" s="8">
        <f t="shared" si="7"/>
        <v>13.325922385248681</v>
      </c>
      <c r="Y6" t="s">
        <v>1</v>
      </c>
      <c r="Z6" s="8">
        <f>_xlfn.STDEV.S(I35:I70)/SQRT(36)</f>
        <v>4.3405079124067028</v>
      </c>
      <c r="AA6" s="8">
        <f t="shared" ref="AA6:AB6" si="8">_xlfn.STDEV.S(J35:J70)/SQRT(36)</f>
        <v>4.303134815880111</v>
      </c>
      <c r="AB6" s="8">
        <f t="shared" si="8"/>
        <v>2.1814266824826669</v>
      </c>
    </row>
    <row r="7" spans="1:28" x14ac:dyDescent="0.25">
      <c r="A7" s="11"/>
      <c r="B7" s="14"/>
      <c r="C7" s="19"/>
      <c r="D7">
        <f>126-F7</f>
        <v>28</v>
      </c>
      <c r="E7">
        <f>122-F7</f>
        <v>24</v>
      </c>
      <c r="F7">
        <f>98</f>
        <v>98</v>
      </c>
      <c r="I7" s="7">
        <f t="shared" si="3"/>
        <v>18.666666666666668</v>
      </c>
      <c r="J7" s="7">
        <f t="shared" si="4"/>
        <v>16</v>
      </c>
      <c r="K7" s="7">
        <f t="shared" si="5"/>
        <v>65.333333333333329</v>
      </c>
    </row>
    <row r="8" spans="1:28" x14ac:dyDescent="0.25">
      <c r="A8" s="11"/>
      <c r="B8" s="14"/>
      <c r="C8" s="19"/>
      <c r="D8">
        <f>216-F8</f>
        <v>64</v>
      </c>
      <c r="E8">
        <f>183-F8</f>
        <v>31</v>
      </c>
      <c r="F8">
        <f>152</f>
        <v>152</v>
      </c>
      <c r="I8" s="7">
        <f t="shared" si="3"/>
        <v>25.910931174089068</v>
      </c>
      <c r="J8" s="7">
        <f t="shared" si="4"/>
        <v>12.550607287449392</v>
      </c>
      <c r="K8" s="7">
        <f t="shared" si="5"/>
        <v>61.53846153846154</v>
      </c>
    </row>
    <row r="9" spans="1:28" x14ac:dyDescent="0.25">
      <c r="A9" s="11"/>
      <c r="B9" s="14"/>
      <c r="C9" s="19"/>
      <c r="D9">
        <f>99-F9</f>
        <v>93</v>
      </c>
      <c r="E9">
        <f>46-F9</f>
        <v>40</v>
      </c>
      <c r="F9">
        <f>6</f>
        <v>6</v>
      </c>
      <c r="I9" s="7">
        <f t="shared" si="3"/>
        <v>66.906474820143885</v>
      </c>
      <c r="J9" s="7">
        <f t="shared" si="4"/>
        <v>28.776978417266186</v>
      </c>
      <c r="K9" s="7">
        <f t="shared" si="5"/>
        <v>4.3165467625899279</v>
      </c>
      <c r="M9" t="s">
        <v>11</v>
      </c>
      <c r="N9" t="s">
        <v>3</v>
      </c>
      <c r="O9" t="s">
        <v>4</v>
      </c>
      <c r="P9" t="s">
        <v>5</v>
      </c>
    </row>
    <row r="10" spans="1:28" x14ac:dyDescent="0.25">
      <c r="A10" s="11"/>
      <c r="B10" s="14"/>
      <c r="C10" s="20"/>
      <c r="D10" s="1">
        <f>192-F10</f>
        <v>64</v>
      </c>
      <c r="E10" s="1">
        <f>159-F10</f>
        <v>31</v>
      </c>
      <c r="F10" s="1">
        <f>128</f>
        <v>128</v>
      </c>
      <c r="I10" s="7">
        <f t="shared" si="3"/>
        <v>28.699551569506728</v>
      </c>
      <c r="J10" s="7">
        <f t="shared" si="4"/>
        <v>13.901345291479823</v>
      </c>
      <c r="K10" s="7">
        <f t="shared" si="5"/>
        <v>57.399103139013455</v>
      </c>
      <c r="M10" t="s">
        <v>0</v>
      </c>
      <c r="N10" s="8">
        <f>_xlfn.STDEV.S(D5:D34)/SQRT(30)</f>
        <v>4.0064555187540503</v>
      </c>
      <c r="O10" s="8">
        <f t="shared" ref="O10:P10" si="9">_xlfn.STDEV.S(E5:E34)/SQRT(30)</f>
        <v>2.4379581306378695</v>
      </c>
      <c r="P10" s="8">
        <f t="shared" si="9"/>
        <v>8.3518438095522995</v>
      </c>
    </row>
    <row r="11" spans="1:28" x14ac:dyDescent="0.25">
      <c r="A11" s="11"/>
      <c r="B11" s="14"/>
      <c r="C11" s="18">
        <v>15</v>
      </c>
      <c r="D11" s="6">
        <f>133-F11</f>
        <v>17</v>
      </c>
      <c r="E11" s="6">
        <f>134-F11</f>
        <v>18</v>
      </c>
      <c r="F11" s="6">
        <f>116</f>
        <v>116</v>
      </c>
      <c r="I11" s="7">
        <f t="shared" si="3"/>
        <v>11.258278145695364</v>
      </c>
      <c r="J11" s="7">
        <f t="shared" si="4"/>
        <v>11.920529801324504</v>
      </c>
      <c r="K11" s="7">
        <f t="shared" si="5"/>
        <v>76.821192052980138</v>
      </c>
      <c r="M11" t="s">
        <v>1</v>
      </c>
      <c r="N11" s="8">
        <f>_xlfn.STDEV.S(D35:D70)/SQRT(36)</f>
        <v>5.8116073113594142</v>
      </c>
      <c r="O11" s="8">
        <f t="shared" ref="O11:P11" si="10">_xlfn.STDEV.S(E35:E70)/SQRT(36)</f>
        <v>4.3121480507152663</v>
      </c>
      <c r="P11" s="8">
        <f t="shared" si="10"/>
        <v>2.4609247842327067</v>
      </c>
    </row>
    <row r="12" spans="1:28" x14ac:dyDescent="0.25">
      <c r="A12" s="11"/>
      <c r="B12" s="14"/>
      <c r="C12" s="19"/>
      <c r="D12">
        <f>84-F12</f>
        <v>23</v>
      </c>
      <c r="E12">
        <f>75-F12</f>
        <v>14</v>
      </c>
      <c r="F12">
        <f>61</f>
        <v>61</v>
      </c>
      <c r="I12" s="7">
        <f t="shared" si="3"/>
        <v>23.469387755102041</v>
      </c>
      <c r="J12" s="7">
        <f t="shared" si="4"/>
        <v>14.285714285714285</v>
      </c>
      <c r="K12" s="7">
        <f t="shared" si="5"/>
        <v>62.244897959183675</v>
      </c>
    </row>
    <row r="13" spans="1:28" x14ac:dyDescent="0.25">
      <c r="A13" s="11"/>
      <c r="B13" s="14"/>
      <c r="C13" s="19"/>
      <c r="D13">
        <f>103-F13</f>
        <v>12</v>
      </c>
      <c r="E13">
        <f>105-F13</f>
        <v>14</v>
      </c>
      <c r="F13">
        <f>91</f>
        <v>91</v>
      </c>
      <c r="I13" s="7">
        <f t="shared" si="3"/>
        <v>10.256410256410255</v>
      </c>
      <c r="J13" s="7">
        <f t="shared" si="4"/>
        <v>11.965811965811966</v>
      </c>
      <c r="K13" s="7">
        <f t="shared" si="5"/>
        <v>77.777777777777786</v>
      </c>
    </row>
    <row r="14" spans="1:28" x14ac:dyDescent="0.25">
      <c r="A14" s="11"/>
      <c r="B14" s="14"/>
      <c r="C14" s="19"/>
      <c r="D14">
        <f>156-F14</f>
        <v>41</v>
      </c>
      <c r="E14">
        <f>133-F14</f>
        <v>18</v>
      </c>
      <c r="F14">
        <f>115</f>
        <v>115</v>
      </c>
      <c r="I14" s="7">
        <f t="shared" si="3"/>
        <v>23.563218390804597</v>
      </c>
      <c r="J14" s="7">
        <f t="shared" si="4"/>
        <v>10.344827586206897</v>
      </c>
      <c r="K14" s="7">
        <f t="shared" si="5"/>
        <v>66.091954022988503</v>
      </c>
    </row>
    <row r="15" spans="1:28" x14ac:dyDescent="0.25">
      <c r="A15" s="11"/>
      <c r="B15" s="14"/>
      <c r="C15" s="19"/>
      <c r="D15">
        <f>131-F15</f>
        <v>86</v>
      </c>
      <c r="E15">
        <f>63-F15</f>
        <v>18</v>
      </c>
      <c r="F15">
        <f>45</f>
        <v>45</v>
      </c>
      <c r="I15" s="7">
        <f t="shared" si="3"/>
        <v>57.718120805369132</v>
      </c>
      <c r="J15" s="7">
        <f t="shared" si="4"/>
        <v>12.080536912751679</v>
      </c>
      <c r="K15" s="7">
        <f t="shared" si="5"/>
        <v>30.201342281879196</v>
      </c>
    </row>
    <row r="16" spans="1:28" x14ac:dyDescent="0.25">
      <c r="A16" s="11"/>
      <c r="B16" s="14"/>
      <c r="C16" s="20"/>
      <c r="D16" s="1">
        <f>187-F16</f>
        <v>61</v>
      </c>
      <c r="E16" s="1">
        <f>150-F16</f>
        <v>24</v>
      </c>
      <c r="F16" s="1">
        <f>126</f>
        <v>126</v>
      </c>
      <c r="I16" s="7">
        <f t="shared" si="3"/>
        <v>28.90995260663507</v>
      </c>
      <c r="J16" s="7">
        <f t="shared" si="4"/>
        <v>11.374407582938389</v>
      </c>
      <c r="K16" s="7">
        <f t="shared" si="5"/>
        <v>59.715639810426538</v>
      </c>
    </row>
    <row r="17" spans="1:11" x14ac:dyDescent="0.25">
      <c r="A17" s="11"/>
      <c r="B17" s="14"/>
      <c r="C17" s="18">
        <v>16</v>
      </c>
      <c r="D17" s="6">
        <f>126-F17</f>
        <v>22</v>
      </c>
      <c r="E17" s="6">
        <f>149-F17</f>
        <v>45</v>
      </c>
      <c r="F17" s="6">
        <f>104</f>
        <v>104</v>
      </c>
      <c r="I17" s="7">
        <f t="shared" si="3"/>
        <v>12.865497076023392</v>
      </c>
      <c r="J17" s="7">
        <f t="shared" si="4"/>
        <v>26.315789473684209</v>
      </c>
      <c r="K17" s="7">
        <f t="shared" si="5"/>
        <v>60.818713450292393</v>
      </c>
    </row>
    <row r="18" spans="1:11" x14ac:dyDescent="0.25">
      <c r="A18" s="11"/>
      <c r="B18" s="14"/>
      <c r="C18" s="19"/>
      <c r="D18">
        <f>59-F18</f>
        <v>13</v>
      </c>
      <c r="E18">
        <f>61-F18</f>
        <v>15</v>
      </c>
      <c r="F18">
        <f>46</f>
        <v>46</v>
      </c>
      <c r="I18" s="7">
        <f t="shared" ref="I18:I70" si="11">D18/($D18+$E18+$F18)*100</f>
        <v>17.567567567567568</v>
      </c>
      <c r="J18" s="7">
        <f t="shared" ref="J18:J70" si="12">E18/($D18+$E18+$F18)*100</f>
        <v>20.27027027027027</v>
      </c>
      <c r="K18" s="7">
        <f t="shared" ref="K18:K70" si="13">F18/($D18+$E18+$F18)*100</f>
        <v>62.162162162162161</v>
      </c>
    </row>
    <row r="19" spans="1:11" x14ac:dyDescent="0.25">
      <c r="A19" s="11"/>
      <c r="B19" s="14"/>
      <c r="C19" s="19"/>
      <c r="D19">
        <f>126-F19</f>
        <v>33</v>
      </c>
      <c r="E19">
        <f>112-F19</f>
        <v>19</v>
      </c>
      <c r="F19">
        <f>93</f>
        <v>93</v>
      </c>
      <c r="I19" s="7">
        <f t="shared" si="11"/>
        <v>22.758620689655174</v>
      </c>
      <c r="J19" s="7">
        <f t="shared" si="12"/>
        <v>13.103448275862069</v>
      </c>
      <c r="K19" s="7">
        <f t="shared" si="13"/>
        <v>64.137931034482747</v>
      </c>
    </row>
    <row r="20" spans="1:11" x14ac:dyDescent="0.25">
      <c r="A20" s="11"/>
      <c r="B20" s="14"/>
      <c r="C20" s="19"/>
      <c r="D20">
        <f>32-F20</f>
        <v>9</v>
      </c>
      <c r="E20">
        <f>28-F20</f>
        <v>5</v>
      </c>
      <c r="F20">
        <f>23</f>
        <v>23</v>
      </c>
      <c r="I20" s="7">
        <f t="shared" si="11"/>
        <v>24.324324324324326</v>
      </c>
      <c r="J20" s="7">
        <f t="shared" si="12"/>
        <v>13.513513513513514</v>
      </c>
      <c r="K20" s="7">
        <f t="shared" si="13"/>
        <v>62.162162162162161</v>
      </c>
    </row>
    <row r="21" spans="1:11" x14ac:dyDescent="0.25">
      <c r="A21" s="11"/>
      <c r="B21" s="14"/>
      <c r="C21" s="19"/>
      <c r="D21">
        <f>98-F21</f>
        <v>42</v>
      </c>
      <c r="E21">
        <f>65-F21</f>
        <v>9</v>
      </c>
      <c r="F21">
        <f>56</f>
        <v>56</v>
      </c>
      <c r="I21" s="7">
        <f t="shared" si="11"/>
        <v>39.252336448598129</v>
      </c>
      <c r="J21" s="7">
        <f t="shared" si="12"/>
        <v>8.4112149532710276</v>
      </c>
      <c r="K21" s="7">
        <f t="shared" si="13"/>
        <v>52.336448598130836</v>
      </c>
    </row>
    <row r="22" spans="1:11" x14ac:dyDescent="0.25">
      <c r="A22" s="11"/>
      <c r="B22" s="14"/>
      <c r="C22" s="20"/>
      <c r="D22" s="1">
        <f>226-F22</f>
        <v>27</v>
      </c>
      <c r="E22" s="1">
        <f>240-F22</f>
        <v>41</v>
      </c>
      <c r="F22" s="1">
        <f>199</f>
        <v>199</v>
      </c>
      <c r="I22" s="7">
        <f t="shared" si="11"/>
        <v>10.112359550561797</v>
      </c>
      <c r="J22" s="7">
        <f t="shared" si="12"/>
        <v>15.355805243445692</v>
      </c>
      <c r="K22" s="7">
        <f t="shared" si="13"/>
        <v>74.531835205992508</v>
      </c>
    </row>
    <row r="23" spans="1:11" x14ac:dyDescent="0.25">
      <c r="A23" s="11"/>
      <c r="B23" s="14"/>
      <c r="C23" s="18">
        <v>17</v>
      </c>
      <c r="D23" s="6">
        <f>130-F23</f>
        <v>38</v>
      </c>
      <c r="E23" s="6">
        <f>130-F23</f>
        <v>38</v>
      </c>
      <c r="F23" s="6">
        <f>92</f>
        <v>92</v>
      </c>
      <c r="I23" s="7">
        <f t="shared" si="11"/>
        <v>22.61904761904762</v>
      </c>
      <c r="J23" s="7">
        <f t="shared" si="12"/>
        <v>22.61904761904762</v>
      </c>
      <c r="K23" s="7">
        <f t="shared" si="13"/>
        <v>54.761904761904766</v>
      </c>
    </row>
    <row r="24" spans="1:11" x14ac:dyDescent="0.25">
      <c r="A24" s="11"/>
      <c r="B24" s="14"/>
      <c r="C24" s="19"/>
      <c r="D24">
        <f>144-F24</f>
        <v>30</v>
      </c>
      <c r="E24">
        <f>139-F24</f>
        <v>25</v>
      </c>
      <c r="F24">
        <f>114</f>
        <v>114</v>
      </c>
      <c r="I24" s="7">
        <f t="shared" si="11"/>
        <v>17.751479289940828</v>
      </c>
      <c r="J24" s="7">
        <f t="shared" si="12"/>
        <v>14.792899408284024</v>
      </c>
      <c r="K24" s="7">
        <f t="shared" si="13"/>
        <v>67.455621301775153</v>
      </c>
    </row>
    <row r="25" spans="1:11" x14ac:dyDescent="0.25">
      <c r="A25" s="11"/>
      <c r="B25" s="14"/>
      <c r="C25" s="19"/>
      <c r="D25">
        <f>121-F25</f>
        <v>37</v>
      </c>
      <c r="E25">
        <f>101-F25</f>
        <v>17</v>
      </c>
      <c r="F25">
        <f>84</f>
        <v>84</v>
      </c>
      <c r="I25" s="7">
        <f t="shared" si="11"/>
        <v>26.811594202898554</v>
      </c>
      <c r="J25" s="7">
        <f t="shared" si="12"/>
        <v>12.318840579710146</v>
      </c>
      <c r="K25" s="7">
        <f t="shared" si="13"/>
        <v>60.869565217391312</v>
      </c>
    </row>
    <row r="26" spans="1:11" x14ac:dyDescent="0.25">
      <c r="A26" s="11"/>
      <c r="B26" s="14"/>
      <c r="C26" s="19"/>
      <c r="D26">
        <f>114-F26</f>
        <v>29</v>
      </c>
      <c r="E26">
        <f>91-F26</f>
        <v>6</v>
      </c>
      <c r="F26">
        <f>85</f>
        <v>85</v>
      </c>
      <c r="I26" s="7">
        <f t="shared" si="11"/>
        <v>24.166666666666668</v>
      </c>
      <c r="J26" s="7">
        <f t="shared" si="12"/>
        <v>5</v>
      </c>
      <c r="K26" s="7">
        <f t="shared" si="13"/>
        <v>70.833333333333343</v>
      </c>
    </row>
    <row r="27" spans="1:11" x14ac:dyDescent="0.25">
      <c r="A27" s="11"/>
      <c r="B27" s="14"/>
      <c r="C27" s="19"/>
      <c r="D27">
        <f>139-F27</f>
        <v>58</v>
      </c>
      <c r="E27">
        <f>99-F27</f>
        <v>18</v>
      </c>
      <c r="F27">
        <f>81</f>
        <v>81</v>
      </c>
      <c r="I27" s="7">
        <f t="shared" si="11"/>
        <v>36.942675159235669</v>
      </c>
      <c r="J27" s="7">
        <f t="shared" si="12"/>
        <v>11.464968152866243</v>
      </c>
      <c r="K27" s="7">
        <f t="shared" si="13"/>
        <v>51.592356687898089</v>
      </c>
    </row>
    <row r="28" spans="1:11" x14ac:dyDescent="0.25">
      <c r="A28" s="11"/>
      <c r="B28" s="14"/>
      <c r="C28" s="20"/>
      <c r="D28" s="1">
        <f>68-F28</f>
        <v>11</v>
      </c>
      <c r="E28" s="1">
        <f>61-F28</f>
        <v>4</v>
      </c>
      <c r="F28" s="1">
        <f>57</f>
        <v>57</v>
      </c>
      <c r="I28" s="7">
        <f t="shared" si="11"/>
        <v>15.277777777777779</v>
      </c>
      <c r="J28" s="7">
        <f t="shared" si="12"/>
        <v>5.5555555555555554</v>
      </c>
      <c r="K28" s="7">
        <f t="shared" si="13"/>
        <v>79.166666666666657</v>
      </c>
    </row>
    <row r="29" spans="1:11" x14ac:dyDescent="0.25">
      <c r="A29" s="11"/>
      <c r="B29" s="14"/>
      <c r="C29" s="19">
        <v>18</v>
      </c>
      <c r="D29">
        <f>54-F29</f>
        <v>44</v>
      </c>
      <c r="E29">
        <f>11-F29</f>
        <v>1</v>
      </c>
      <c r="F29">
        <f>10</f>
        <v>10</v>
      </c>
      <c r="I29" s="7">
        <f t="shared" si="11"/>
        <v>80</v>
      </c>
      <c r="J29" s="7">
        <f t="shared" si="12"/>
        <v>1.8181818181818181</v>
      </c>
      <c r="K29" s="7">
        <f t="shared" si="13"/>
        <v>18.181818181818183</v>
      </c>
    </row>
    <row r="30" spans="1:11" x14ac:dyDescent="0.25">
      <c r="A30" s="11"/>
      <c r="B30" s="14"/>
      <c r="C30" s="19"/>
      <c r="D30">
        <f>20-F30</f>
        <v>19</v>
      </c>
      <c r="E30">
        <f>5-F30</f>
        <v>4</v>
      </c>
      <c r="F30">
        <f>1</f>
        <v>1</v>
      </c>
      <c r="I30" s="7">
        <f t="shared" si="11"/>
        <v>79.166666666666657</v>
      </c>
      <c r="J30" s="7">
        <f t="shared" si="12"/>
        <v>16.666666666666664</v>
      </c>
      <c r="K30" s="7">
        <f t="shared" si="13"/>
        <v>4.1666666666666661</v>
      </c>
    </row>
    <row r="31" spans="1:11" x14ac:dyDescent="0.25">
      <c r="A31" s="11"/>
      <c r="B31" s="14"/>
      <c r="C31" s="19"/>
      <c r="D31">
        <f>152-F31</f>
        <v>65</v>
      </c>
      <c r="E31">
        <f>96-F31</f>
        <v>9</v>
      </c>
      <c r="F31">
        <f>87</f>
        <v>87</v>
      </c>
      <c r="I31" s="7">
        <f t="shared" si="11"/>
        <v>40.372670807453417</v>
      </c>
      <c r="J31" s="7">
        <f t="shared" si="12"/>
        <v>5.5900621118012426</v>
      </c>
      <c r="K31" s="7">
        <f t="shared" si="13"/>
        <v>54.037267080745345</v>
      </c>
    </row>
    <row r="32" spans="1:11" x14ac:dyDescent="0.25">
      <c r="A32" s="11"/>
      <c r="B32" s="14"/>
      <c r="C32" s="19"/>
      <c r="D32">
        <f>54-F32</f>
        <v>31</v>
      </c>
      <c r="E32">
        <f>24-F32</f>
        <v>1</v>
      </c>
      <c r="F32">
        <f>23</f>
        <v>23</v>
      </c>
      <c r="I32" s="7">
        <f t="shared" si="11"/>
        <v>56.36363636363636</v>
      </c>
      <c r="J32" s="7">
        <f t="shared" si="12"/>
        <v>1.8181818181818181</v>
      </c>
      <c r="K32" s="7">
        <f t="shared" si="13"/>
        <v>41.818181818181813</v>
      </c>
    </row>
    <row r="33" spans="1:11" x14ac:dyDescent="0.25">
      <c r="A33" s="11"/>
      <c r="B33" s="14"/>
      <c r="C33" s="19"/>
      <c r="D33">
        <f>109-F33</f>
        <v>69</v>
      </c>
      <c r="E33">
        <f>44-F33</f>
        <v>4</v>
      </c>
      <c r="F33">
        <f>40</f>
        <v>40</v>
      </c>
      <c r="I33" s="7">
        <f t="shared" si="11"/>
        <v>61.06194690265486</v>
      </c>
      <c r="J33" s="7">
        <f t="shared" si="12"/>
        <v>3.5398230088495577</v>
      </c>
      <c r="K33" s="7">
        <f t="shared" si="13"/>
        <v>35.398230088495573</v>
      </c>
    </row>
    <row r="34" spans="1:11" ht="15.75" thickBot="1" x14ac:dyDescent="0.3">
      <c r="A34" s="11"/>
      <c r="B34" s="15"/>
      <c r="C34" s="21"/>
      <c r="D34" s="9">
        <f>75-F34</f>
        <v>37</v>
      </c>
      <c r="E34" s="9">
        <f>(89-E33)-F34</f>
        <v>47</v>
      </c>
      <c r="F34" s="9">
        <f>38</f>
        <v>38</v>
      </c>
      <c r="I34" s="7">
        <f t="shared" si="11"/>
        <v>30.327868852459016</v>
      </c>
      <c r="J34" s="7">
        <f t="shared" si="12"/>
        <v>38.524590163934427</v>
      </c>
      <c r="K34" s="7">
        <f t="shared" si="13"/>
        <v>31.147540983606557</v>
      </c>
    </row>
    <row r="35" spans="1:11" ht="15.75" thickTop="1" x14ac:dyDescent="0.25">
      <c r="A35" s="11"/>
      <c r="B35" s="14" t="s">
        <v>1</v>
      </c>
      <c r="C35" s="19">
        <v>20</v>
      </c>
      <c r="D35">
        <f>34-F35</f>
        <v>31</v>
      </c>
      <c r="E35">
        <f>29-F35</f>
        <v>26</v>
      </c>
      <c r="F35">
        <f>3</f>
        <v>3</v>
      </c>
      <c r="I35" s="7">
        <f t="shared" si="11"/>
        <v>51.666666666666671</v>
      </c>
      <c r="J35" s="7">
        <f t="shared" si="12"/>
        <v>43.333333333333336</v>
      </c>
      <c r="K35" s="7">
        <f t="shared" si="13"/>
        <v>5</v>
      </c>
    </row>
    <row r="36" spans="1:11" x14ac:dyDescent="0.25">
      <c r="A36" s="11"/>
      <c r="B36" s="14"/>
      <c r="C36" s="19"/>
      <c r="D36">
        <f>55-F36</f>
        <v>48</v>
      </c>
      <c r="E36">
        <f>37-F36</f>
        <v>30</v>
      </c>
      <c r="F36">
        <f>7</f>
        <v>7</v>
      </c>
      <c r="I36" s="7">
        <f t="shared" si="11"/>
        <v>56.470588235294116</v>
      </c>
      <c r="J36" s="7">
        <f t="shared" si="12"/>
        <v>35.294117647058826</v>
      </c>
      <c r="K36" s="7">
        <f t="shared" si="13"/>
        <v>8.235294117647058</v>
      </c>
    </row>
    <row r="37" spans="1:11" x14ac:dyDescent="0.25">
      <c r="A37" s="11"/>
      <c r="B37" s="14"/>
      <c r="C37" s="19"/>
      <c r="D37">
        <f>43-F37</f>
        <v>41</v>
      </c>
      <c r="E37">
        <f>36-F37</f>
        <v>34</v>
      </c>
      <c r="F37">
        <f>2</f>
        <v>2</v>
      </c>
      <c r="I37" s="7">
        <f t="shared" si="11"/>
        <v>53.246753246753244</v>
      </c>
      <c r="J37" s="7">
        <f t="shared" si="12"/>
        <v>44.155844155844157</v>
      </c>
      <c r="K37" s="7">
        <f t="shared" si="13"/>
        <v>2.5974025974025974</v>
      </c>
    </row>
    <row r="38" spans="1:11" x14ac:dyDescent="0.25">
      <c r="A38" s="11"/>
      <c r="B38" s="14"/>
      <c r="C38" s="19"/>
      <c r="D38">
        <f>17-F38</f>
        <v>17</v>
      </c>
      <c r="E38">
        <f>58-F38</f>
        <v>58</v>
      </c>
      <c r="F38">
        <f>0</f>
        <v>0</v>
      </c>
      <c r="I38" s="7">
        <f t="shared" si="11"/>
        <v>22.666666666666664</v>
      </c>
      <c r="J38" s="7">
        <f t="shared" si="12"/>
        <v>77.333333333333329</v>
      </c>
      <c r="K38" s="7">
        <f t="shared" si="13"/>
        <v>0</v>
      </c>
    </row>
    <row r="39" spans="1:11" x14ac:dyDescent="0.25">
      <c r="A39" s="11"/>
      <c r="B39" s="14"/>
      <c r="C39" s="19"/>
      <c r="D39">
        <f>33-F39</f>
        <v>10</v>
      </c>
      <c r="E39">
        <f>47-F39</f>
        <v>24</v>
      </c>
      <c r="F39">
        <f>23</f>
        <v>23</v>
      </c>
      <c r="I39" s="7">
        <f t="shared" si="11"/>
        <v>17.543859649122805</v>
      </c>
      <c r="J39" s="7">
        <f t="shared" si="12"/>
        <v>42.105263157894733</v>
      </c>
      <c r="K39" s="7">
        <f t="shared" si="13"/>
        <v>40.350877192982452</v>
      </c>
    </row>
    <row r="40" spans="1:11" x14ac:dyDescent="0.25">
      <c r="A40" s="11"/>
      <c r="B40" s="14"/>
      <c r="C40" s="20"/>
      <c r="D40" s="1">
        <f>88-F40</f>
        <v>46</v>
      </c>
      <c r="E40" s="1">
        <f>49-F40</f>
        <v>7</v>
      </c>
      <c r="F40" s="1">
        <f>42</f>
        <v>42</v>
      </c>
      <c r="I40" s="7">
        <f t="shared" si="11"/>
        <v>48.421052631578945</v>
      </c>
      <c r="J40" s="7">
        <f t="shared" si="12"/>
        <v>7.3684210526315779</v>
      </c>
      <c r="K40" s="7">
        <f t="shared" si="13"/>
        <v>44.210526315789473</v>
      </c>
    </row>
    <row r="41" spans="1:11" x14ac:dyDescent="0.25">
      <c r="A41" s="11"/>
      <c r="B41" s="14"/>
      <c r="C41" s="18">
        <v>21</v>
      </c>
      <c r="D41">
        <f>87-F41</f>
        <v>83</v>
      </c>
      <c r="E41">
        <f>14-F41</f>
        <v>10</v>
      </c>
      <c r="F41">
        <f>4</f>
        <v>4</v>
      </c>
      <c r="I41" s="7">
        <f t="shared" si="11"/>
        <v>85.567010309278345</v>
      </c>
      <c r="J41" s="7">
        <f t="shared" si="12"/>
        <v>10.309278350515463</v>
      </c>
      <c r="K41" s="7">
        <f t="shared" si="13"/>
        <v>4.1237113402061851</v>
      </c>
    </row>
    <row r="42" spans="1:11" x14ac:dyDescent="0.25">
      <c r="A42" s="11"/>
      <c r="B42" s="14"/>
      <c r="C42" s="19"/>
      <c r="D42">
        <f>6-F42</f>
        <v>2</v>
      </c>
      <c r="E42">
        <f>72-F42</f>
        <v>68</v>
      </c>
      <c r="F42">
        <f>4</f>
        <v>4</v>
      </c>
      <c r="I42" s="7">
        <f t="shared" si="11"/>
        <v>2.7027027027027026</v>
      </c>
      <c r="J42" s="7">
        <f t="shared" si="12"/>
        <v>91.891891891891902</v>
      </c>
      <c r="K42" s="7">
        <f t="shared" si="13"/>
        <v>5.4054054054054053</v>
      </c>
    </row>
    <row r="43" spans="1:11" x14ac:dyDescent="0.25">
      <c r="A43" s="11"/>
      <c r="B43" s="14"/>
      <c r="C43" s="19"/>
      <c r="D43">
        <f>56-F43</f>
        <v>46</v>
      </c>
      <c r="E43">
        <f>56-F43</f>
        <v>46</v>
      </c>
      <c r="F43">
        <f>10</f>
        <v>10</v>
      </c>
      <c r="I43" s="7">
        <f t="shared" si="11"/>
        <v>45.098039215686278</v>
      </c>
      <c r="J43" s="7">
        <f t="shared" si="12"/>
        <v>45.098039215686278</v>
      </c>
      <c r="K43" s="7">
        <f t="shared" si="13"/>
        <v>9.8039215686274517</v>
      </c>
    </row>
    <row r="44" spans="1:11" x14ac:dyDescent="0.25">
      <c r="A44" s="11"/>
      <c r="B44" s="14"/>
      <c r="C44" s="19"/>
      <c r="D44">
        <f>48-F44</f>
        <v>46</v>
      </c>
      <c r="E44">
        <f>21-F44</f>
        <v>19</v>
      </c>
      <c r="F44">
        <f>2</f>
        <v>2</v>
      </c>
      <c r="I44" s="7">
        <f t="shared" si="11"/>
        <v>68.656716417910445</v>
      </c>
      <c r="J44" s="7">
        <f t="shared" si="12"/>
        <v>28.35820895522388</v>
      </c>
      <c r="K44" s="7">
        <f t="shared" si="13"/>
        <v>2.9850746268656714</v>
      </c>
    </row>
    <row r="45" spans="1:11" x14ac:dyDescent="0.25">
      <c r="A45" s="11"/>
      <c r="B45" s="14"/>
      <c r="C45" s="19"/>
      <c r="D45">
        <f>34-F45</f>
        <v>9</v>
      </c>
      <c r="E45">
        <f>47-F45</f>
        <v>22</v>
      </c>
      <c r="F45">
        <f>25</f>
        <v>25</v>
      </c>
      <c r="I45" s="7">
        <f t="shared" si="11"/>
        <v>16.071428571428573</v>
      </c>
      <c r="J45" s="7">
        <f t="shared" si="12"/>
        <v>39.285714285714285</v>
      </c>
      <c r="K45" s="7">
        <f t="shared" si="13"/>
        <v>44.642857142857146</v>
      </c>
    </row>
    <row r="46" spans="1:11" x14ac:dyDescent="0.25">
      <c r="A46" s="11"/>
      <c r="B46" s="14"/>
      <c r="C46" s="20"/>
      <c r="D46" s="1">
        <f>122-F46</f>
        <v>85</v>
      </c>
      <c r="E46" s="1">
        <f>58-F46</f>
        <v>21</v>
      </c>
      <c r="F46" s="1">
        <f>37</f>
        <v>37</v>
      </c>
      <c r="I46" s="7">
        <f t="shared" si="11"/>
        <v>59.44055944055944</v>
      </c>
      <c r="J46" s="7">
        <f t="shared" si="12"/>
        <v>14.685314685314685</v>
      </c>
      <c r="K46" s="7">
        <f t="shared" si="13"/>
        <v>25.874125874125873</v>
      </c>
    </row>
    <row r="47" spans="1:11" x14ac:dyDescent="0.25">
      <c r="A47" s="11"/>
      <c r="B47" s="14"/>
      <c r="C47" s="18">
        <v>22</v>
      </c>
      <c r="D47">
        <f>111-F47</f>
        <v>90</v>
      </c>
      <c r="E47">
        <f>45-F47</f>
        <v>24</v>
      </c>
      <c r="F47">
        <f>21</f>
        <v>21</v>
      </c>
      <c r="I47" s="7">
        <f t="shared" si="11"/>
        <v>66.666666666666657</v>
      </c>
      <c r="J47" s="7">
        <f t="shared" si="12"/>
        <v>17.777777777777779</v>
      </c>
      <c r="K47" s="7">
        <f t="shared" si="13"/>
        <v>15.555555555555555</v>
      </c>
    </row>
    <row r="48" spans="1:11" x14ac:dyDescent="0.25">
      <c r="A48" s="11"/>
      <c r="B48" s="14"/>
      <c r="C48" s="19"/>
      <c r="D48">
        <f>4-F48</f>
        <v>4</v>
      </c>
      <c r="E48">
        <f>22-F48</f>
        <v>22</v>
      </c>
      <c r="F48">
        <f>0</f>
        <v>0</v>
      </c>
      <c r="I48" s="7">
        <f t="shared" si="11"/>
        <v>15.384615384615385</v>
      </c>
      <c r="J48" s="7">
        <f t="shared" si="12"/>
        <v>84.615384615384613</v>
      </c>
      <c r="K48" s="7">
        <f t="shared" si="13"/>
        <v>0</v>
      </c>
    </row>
    <row r="49" spans="1:11" x14ac:dyDescent="0.25">
      <c r="A49" s="11"/>
      <c r="B49" s="14"/>
      <c r="C49" s="19"/>
      <c r="D49">
        <f>12-F49</f>
        <v>11</v>
      </c>
      <c r="E49">
        <f>74-F49</f>
        <v>73</v>
      </c>
      <c r="F49">
        <f>1</f>
        <v>1</v>
      </c>
      <c r="I49" s="7">
        <f t="shared" si="11"/>
        <v>12.941176470588237</v>
      </c>
      <c r="J49" s="7">
        <f t="shared" si="12"/>
        <v>85.882352941176464</v>
      </c>
      <c r="K49" s="7">
        <f t="shared" si="13"/>
        <v>1.1764705882352942</v>
      </c>
    </row>
    <row r="50" spans="1:11" x14ac:dyDescent="0.25">
      <c r="A50" s="11"/>
      <c r="B50" s="14"/>
      <c r="C50" s="19"/>
      <c r="D50">
        <f>59-F50</f>
        <v>57</v>
      </c>
      <c r="E50">
        <f>46-F50</f>
        <v>44</v>
      </c>
      <c r="F50">
        <f>2</f>
        <v>2</v>
      </c>
      <c r="I50" s="7">
        <f t="shared" si="11"/>
        <v>55.339805825242713</v>
      </c>
      <c r="J50" s="7">
        <f t="shared" si="12"/>
        <v>42.718446601941743</v>
      </c>
      <c r="K50" s="7">
        <f t="shared" si="13"/>
        <v>1.9417475728155338</v>
      </c>
    </row>
    <row r="51" spans="1:11" x14ac:dyDescent="0.25">
      <c r="A51" s="11"/>
      <c r="B51" s="14"/>
      <c r="C51" s="19"/>
      <c r="D51">
        <f>83-F51</f>
        <v>61</v>
      </c>
      <c r="E51">
        <f>40-F51</f>
        <v>18</v>
      </c>
      <c r="F51">
        <f>22</f>
        <v>22</v>
      </c>
      <c r="I51" s="7">
        <f t="shared" si="11"/>
        <v>60.396039603960396</v>
      </c>
      <c r="J51" s="7">
        <f t="shared" si="12"/>
        <v>17.82178217821782</v>
      </c>
      <c r="K51" s="7">
        <f t="shared" si="13"/>
        <v>21.782178217821784</v>
      </c>
    </row>
    <row r="52" spans="1:11" x14ac:dyDescent="0.25">
      <c r="A52" s="11"/>
      <c r="B52" s="14"/>
      <c r="C52" s="20"/>
      <c r="D52" s="1">
        <f>64-F52</f>
        <v>49</v>
      </c>
      <c r="E52" s="1">
        <f>49-F52</f>
        <v>34</v>
      </c>
      <c r="F52" s="1">
        <f>15</f>
        <v>15</v>
      </c>
      <c r="I52" s="7">
        <f t="shared" si="11"/>
        <v>50</v>
      </c>
      <c r="J52" s="7">
        <f t="shared" si="12"/>
        <v>34.693877551020407</v>
      </c>
      <c r="K52" s="7">
        <f t="shared" si="13"/>
        <v>15.306122448979592</v>
      </c>
    </row>
    <row r="53" spans="1:11" x14ac:dyDescent="0.25">
      <c r="A53" s="11"/>
      <c r="B53" s="14"/>
      <c r="C53" s="18">
        <v>23</v>
      </c>
      <c r="D53" s="6">
        <f>54-F53</f>
        <v>32</v>
      </c>
      <c r="E53" s="6">
        <f>59-F53</f>
        <v>37</v>
      </c>
      <c r="F53" s="6">
        <f>22</f>
        <v>22</v>
      </c>
      <c r="I53" s="7">
        <f t="shared" si="11"/>
        <v>35.164835164835168</v>
      </c>
      <c r="J53" s="7">
        <f t="shared" si="12"/>
        <v>40.659340659340657</v>
      </c>
      <c r="K53" s="7">
        <f t="shared" si="13"/>
        <v>24.175824175824175</v>
      </c>
    </row>
    <row r="54" spans="1:11" x14ac:dyDescent="0.25">
      <c r="A54" s="11"/>
      <c r="B54" s="14"/>
      <c r="C54" s="19"/>
      <c r="D54">
        <f>7-F54</f>
        <v>3</v>
      </c>
      <c r="E54">
        <f>142-F54</f>
        <v>138</v>
      </c>
      <c r="F54">
        <f>4</f>
        <v>4</v>
      </c>
      <c r="I54" s="7">
        <f t="shared" si="11"/>
        <v>2.0689655172413794</v>
      </c>
      <c r="J54" s="7">
        <f t="shared" si="12"/>
        <v>95.172413793103445</v>
      </c>
      <c r="K54" s="7">
        <f t="shared" si="13"/>
        <v>2.7586206896551726</v>
      </c>
    </row>
    <row r="55" spans="1:11" x14ac:dyDescent="0.25">
      <c r="A55" s="11"/>
      <c r="B55" s="14"/>
      <c r="C55" s="19"/>
      <c r="D55">
        <f>83-F55</f>
        <v>61</v>
      </c>
      <c r="E55">
        <f>53-F55</f>
        <v>31</v>
      </c>
      <c r="F55">
        <f>22</f>
        <v>22</v>
      </c>
      <c r="I55" s="7">
        <f t="shared" si="11"/>
        <v>53.508771929824562</v>
      </c>
      <c r="J55" s="7">
        <f t="shared" si="12"/>
        <v>27.192982456140353</v>
      </c>
      <c r="K55" s="7">
        <f t="shared" si="13"/>
        <v>19.298245614035086</v>
      </c>
    </row>
    <row r="56" spans="1:11" x14ac:dyDescent="0.25">
      <c r="A56" s="11"/>
      <c r="B56" s="14"/>
      <c r="C56" s="19"/>
      <c r="D56">
        <f>94-F56</f>
        <v>79</v>
      </c>
      <c r="E56">
        <f>32-F56</f>
        <v>17</v>
      </c>
      <c r="F56">
        <f>15</f>
        <v>15</v>
      </c>
      <c r="I56" s="7">
        <f t="shared" si="11"/>
        <v>71.171171171171167</v>
      </c>
      <c r="J56" s="7">
        <f t="shared" si="12"/>
        <v>15.315315315315313</v>
      </c>
      <c r="K56" s="7">
        <f t="shared" si="13"/>
        <v>13.513513513513514</v>
      </c>
    </row>
    <row r="57" spans="1:11" x14ac:dyDescent="0.25">
      <c r="A57" s="11"/>
      <c r="B57" s="14"/>
      <c r="C57" s="19"/>
      <c r="D57">
        <f>154-F57</f>
        <v>101</v>
      </c>
      <c r="E57">
        <f>93-F57</f>
        <v>40</v>
      </c>
      <c r="F57">
        <f>53</f>
        <v>53</v>
      </c>
      <c r="I57" s="7">
        <f t="shared" si="11"/>
        <v>52.0618556701031</v>
      </c>
      <c r="J57" s="7">
        <f t="shared" si="12"/>
        <v>20.618556701030926</v>
      </c>
      <c r="K57" s="7">
        <f t="shared" si="13"/>
        <v>27.319587628865978</v>
      </c>
    </row>
    <row r="58" spans="1:11" x14ac:dyDescent="0.25">
      <c r="A58" s="11"/>
      <c r="B58" s="14"/>
      <c r="C58" s="20"/>
      <c r="D58" s="1">
        <f>106-F58</f>
        <v>97</v>
      </c>
      <c r="E58" s="1">
        <f>21-F58</f>
        <v>12</v>
      </c>
      <c r="F58" s="1">
        <f>9</f>
        <v>9</v>
      </c>
      <c r="I58" s="7">
        <f t="shared" si="11"/>
        <v>82.203389830508485</v>
      </c>
      <c r="J58" s="7">
        <f t="shared" si="12"/>
        <v>10.16949152542373</v>
      </c>
      <c r="K58" s="7">
        <f t="shared" si="13"/>
        <v>7.6271186440677967</v>
      </c>
    </row>
    <row r="59" spans="1:11" x14ac:dyDescent="0.25">
      <c r="A59" s="11"/>
      <c r="B59" s="14"/>
      <c r="C59" s="18">
        <v>24</v>
      </c>
      <c r="D59" s="6">
        <f>34-F59</f>
        <v>28</v>
      </c>
      <c r="E59" s="6">
        <f>36-F59</f>
        <v>30</v>
      </c>
      <c r="F59" s="6">
        <f>6</f>
        <v>6</v>
      </c>
      <c r="I59" s="7">
        <f t="shared" si="11"/>
        <v>43.75</v>
      </c>
      <c r="J59" s="7">
        <f t="shared" si="12"/>
        <v>46.875</v>
      </c>
      <c r="K59" s="7">
        <f t="shared" si="13"/>
        <v>9.375</v>
      </c>
    </row>
    <row r="60" spans="1:11" x14ac:dyDescent="0.25">
      <c r="A60" s="11"/>
      <c r="B60" s="14"/>
      <c r="C60" s="19"/>
      <c r="D60">
        <f>73-F60</f>
        <v>23</v>
      </c>
      <c r="E60">
        <f>120-F60</f>
        <v>70</v>
      </c>
      <c r="F60">
        <f>50</f>
        <v>50</v>
      </c>
      <c r="I60" s="7">
        <f t="shared" si="11"/>
        <v>16.083916083916083</v>
      </c>
      <c r="J60" s="7">
        <f t="shared" si="12"/>
        <v>48.951048951048953</v>
      </c>
      <c r="K60" s="7">
        <f t="shared" si="13"/>
        <v>34.965034965034967</v>
      </c>
    </row>
    <row r="61" spans="1:11" x14ac:dyDescent="0.25">
      <c r="A61" s="11"/>
      <c r="B61" s="14"/>
      <c r="C61" s="19"/>
      <c r="D61">
        <f>95-F61</f>
        <v>93</v>
      </c>
      <c r="E61">
        <f>5-F61</f>
        <v>3</v>
      </c>
      <c r="F61">
        <f>2</f>
        <v>2</v>
      </c>
      <c r="I61" s="7">
        <f t="shared" si="11"/>
        <v>94.897959183673478</v>
      </c>
      <c r="J61" s="7">
        <f t="shared" si="12"/>
        <v>3.0612244897959182</v>
      </c>
      <c r="K61" s="7">
        <f t="shared" si="13"/>
        <v>2.0408163265306123</v>
      </c>
    </row>
    <row r="62" spans="1:11" x14ac:dyDescent="0.25">
      <c r="A62" s="11"/>
      <c r="B62" s="14"/>
      <c r="C62" s="19"/>
      <c r="D62">
        <f>93-F62</f>
        <v>85</v>
      </c>
      <c r="E62">
        <f>22-F62</f>
        <v>14</v>
      </c>
      <c r="F62">
        <f>8</f>
        <v>8</v>
      </c>
      <c r="I62" s="7">
        <f t="shared" si="11"/>
        <v>79.43925233644859</v>
      </c>
      <c r="J62" s="7">
        <f t="shared" si="12"/>
        <v>13.084112149532709</v>
      </c>
      <c r="K62" s="7">
        <f t="shared" si="13"/>
        <v>7.4766355140186906</v>
      </c>
    </row>
    <row r="63" spans="1:11" x14ac:dyDescent="0.25">
      <c r="A63" s="11"/>
      <c r="B63" s="14"/>
      <c r="C63" s="19"/>
      <c r="D63">
        <f>115-F63</f>
        <v>78</v>
      </c>
      <c r="E63">
        <f>70-F63</f>
        <v>33</v>
      </c>
      <c r="F63">
        <f>37</f>
        <v>37</v>
      </c>
      <c r="I63" s="7">
        <f t="shared" si="11"/>
        <v>52.702702702702695</v>
      </c>
      <c r="J63" s="7">
        <f t="shared" si="12"/>
        <v>22.297297297297298</v>
      </c>
      <c r="K63" s="7">
        <f t="shared" si="13"/>
        <v>25</v>
      </c>
    </row>
    <row r="64" spans="1:11" x14ac:dyDescent="0.25">
      <c r="A64" s="11"/>
      <c r="B64" s="14"/>
      <c r="C64" s="20"/>
      <c r="D64" s="1">
        <f>83-F64</f>
        <v>69</v>
      </c>
      <c r="E64" s="1">
        <f>28-F64</f>
        <v>14</v>
      </c>
      <c r="F64" s="1">
        <f>14</f>
        <v>14</v>
      </c>
      <c r="I64" s="7">
        <f t="shared" si="11"/>
        <v>71.134020618556704</v>
      </c>
      <c r="J64" s="7">
        <f t="shared" si="12"/>
        <v>14.432989690721648</v>
      </c>
      <c r="K64" s="7">
        <f t="shared" si="13"/>
        <v>14.432989690721648</v>
      </c>
    </row>
    <row r="65" spans="1:11" x14ac:dyDescent="0.25">
      <c r="A65" s="11"/>
      <c r="B65" s="14"/>
      <c r="C65" s="19">
        <v>25</v>
      </c>
      <c r="D65">
        <f>34-F65</f>
        <v>33</v>
      </c>
      <c r="E65">
        <f>18-F65</f>
        <v>17</v>
      </c>
      <c r="F65">
        <f>1</f>
        <v>1</v>
      </c>
      <c r="I65" s="7">
        <f t="shared" si="11"/>
        <v>64.705882352941174</v>
      </c>
      <c r="J65" s="7">
        <f t="shared" si="12"/>
        <v>33.333333333333329</v>
      </c>
      <c r="K65" s="7">
        <f t="shared" si="13"/>
        <v>1.9607843137254901</v>
      </c>
    </row>
    <row r="66" spans="1:11" x14ac:dyDescent="0.25">
      <c r="A66" s="11"/>
      <c r="B66" s="14"/>
      <c r="C66" s="19"/>
      <c r="D66">
        <f>63-F66</f>
        <v>38</v>
      </c>
      <c r="E66">
        <f>58-F66</f>
        <v>33</v>
      </c>
      <c r="F66">
        <f>25</f>
        <v>25</v>
      </c>
      <c r="I66" s="7">
        <f t="shared" si="11"/>
        <v>39.583333333333329</v>
      </c>
      <c r="J66" s="7">
        <f t="shared" si="12"/>
        <v>34.375</v>
      </c>
      <c r="K66" s="7">
        <f t="shared" si="13"/>
        <v>26.041666666666668</v>
      </c>
    </row>
    <row r="67" spans="1:11" x14ac:dyDescent="0.25">
      <c r="A67" s="11"/>
      <c r="B67" s="14"/>
      <c r="C67" s="19"/>
      <c r="D67">
        <f>76-F67</f>
        <v>69</v>
      </c>
      <c r="E67">
        <f>13-F67</f>
        <v>6</v>
      </c>
      <c r="F67">
        <f>7</f>
        <v>7</v>
      </c>
      <c r="I67" s="7">
        <f t="shared" si="11"/>
        <v>84.146341463414629</v>
      </c>
      <c r="J67" s="7">
        <f t="shared" si="12"/>
        <v>7.3170731707317067</v>
      </c>
      <c r="K67" s="7">
        <f t="shared" si="13"/>
        <v>8.536585365853659</v>
      </c>
    </row>
    <row r="68" spans="1:11" x14ac:dyDescent="0.25">
      <c r="A68" s="11"/>
      <c r="B68" s="14"/>
      <c r="C68" s="19"/>
      <c r="D68">
        <f>162-F68</f>
        <v>160</v>
      </c>
      <c r="E68">
        <f>4-F68</f>
        <v>2</v>
      </c>
      <c r="F68">
        <f>2</f>
        <v>2</v>
      </c>
      <c r="I68" s="7">
        <f t="shared" si="11"/>
        <v>97.560975609756099</v>
      </c>
      <c r="J68" s="7">
        <f t="shared" si="12"/>
        <v>1.2195121951219512</v>
      </c>
      <c r="K68" s="7">
        <f t="shared" si="13"/>
        <v>1.2195121951219512</v>
      </c>
    </row>
    <row r="69" spans="1:11" x14ac:dyDescent="0.25">
      <c r="A69" s="11"/>
      <c r="B69" s="14"/>
      <c r="C69" s="19"/>
      <c r="D69">
        <f>76-F69</f>
        <v>72</v>
      </c>
      <c r="E69">
        <f>8-F69</f>
        <v>4</v>
      </c>
      <c r="F69">
        <f>4</f>
        <v>4</v>
      </c>
      <c r="I69" s="7">
        <f t="shared" si="11"/>
        <v>90</v>
      </c>
      <c r="J69" s="7">
        <f t="shared" si="12"/>
        <v>5</v>
      </c>
      <c r="K69" s="7">
        <f t="shared" si="13"/>
        <v>5</v>
      </c>
    </row>
    <row r="70" spans="1:11" x14ac:dyDescent="0.25">
      <c r="A70" s="12"/>
      <c r="B70" s="16"/>
      <c r="C70" s="20"/>
      <c r="D70" s="1">
        <f>23-F70</f>
        <v>23</v>
      </c>
      <c r="E70" s="1">
        <f>25-F70</f>
        <v>25</v>
      </c>
      <c r="F70" s="1">
        <f>0</f>
        <v>0</v>
      </c>
      <c r="I70" s="7">
        <f t="shared" si="11"/>
        <v>47.916666666666671</v>
      </c>
      <c r="J70" s="7">
        <f t="shared" si="12"/>
        <v>52.083333333333336</v>
      </c>
      <c r="K70" s="7">
        <f t="shared" si="13"/>
        <v>0</v>
      </c>
    </row>
  </sheetData>
  <mergeCells count="15">
    <mergeCell ref="A5:A70"/>
    <mergeCell ref="B5:B34"/>
    <mergeCell ref="B35:B70"/>
    <mergeCell ref="B1:J2"/>
    <mergeCell ref="C5:C10"/>
    <mergeCell ref="C11:C16"/>
    <mergeCell ref="C17:C22"/>
    <mergeCell ref="C23:C28"/>
    <mergeCell ref="C29:C34"/>
    <mergeCell ref="C35:C40"/>
    <mergeCell ref="C41:C46"/>
    <mergeCell ref="C47:C52"/>
    <mergeCell ref="C53:C58"/>
    <mergeCell ref="C59:C64"/>
    <mergeCell ref="C65:C70"/>
  </mergeCells>
  <pageMargins left="0.7" right="0.7" top="0.75" bottom="0.75" header="0.3" footer="0.3"/>
  <ignoredErrors>
    <ignoredError sqref="D1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15TRIS DAY53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Gwendoline Lab</dc:creator>
  <cp:lastModifiedBy>Michele Bertacchi</cp:lastModifiedBy>
  <dcterms:created xsi:type="dcterms:W3CDTF">2023-05-15T14:29:05Z</dcterms:created>
  <dcterms:modified xsi:type="dcterms:W3CDTF">2024-09-11T12:56:58Z</dcterms:modified>
</cp:coreProperties>
</file>