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788737D5-33A1-2045-BD99-89F49F2CE5EB}" xr6:coauthVersionLast="47" xr6:coauthVersionMax="47" xr10:uidLastSave="{00000000-0000-0000-0000-000000000000}"/>
  <bookViews>
    <workbookView xWindow="35140" yWindow="4140" windowWidth="27640" windowHeight="16940" activeTab="1" xr2:uid="{5E091BC2-161B-C641-B0CE-48B98A8C80D8}"/>
  </bookViews>
  <sheets>
    <sheet name="Panel d" sheetId="1" r:id="rId1"/>
    <sheet name="Panel g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7" i="2" l="1"/>
  <c r="AI57" i="2"/>
  <c r="AH57" i="2"/>
  <c r="AE57" i="2"/>
  <c r="AC62" i="2" s="1"/>
  <c r="AD57" i="2"/>
  <c r="AD63" i="2" s="1"/>
  <c r="AC57" i="2"/>
  <c r="AC63" i="2" s="1"/>
  <c r="AB57" i="2"/>
  <c r="AB63" i="2" s="1"/>
  <c r="X57" i="2"/>
  <c r="W57" i="2"/>
  <c r="V57" i="2"/>
  <c r="Y57" i="2" s="1"/>
  <c r="AK56" i="2"/>
  <c r="AE56" i="2"/>
  <c r="Y56" i="2"/>
  <c r="X63" i="2" s="1"/>
  <c r="AK55" i="2"/>
  <c r="AK57" i="2" s="1"/>
  <c r="AE55" i="2"/>
  <c r="Y55" i="2"/>
  <c r="AK7" i="2"/>
  <c r="AJ7" i="2"/>
  <c r="AI7" i="2"/>
  <c r="AK6" i="2"/>
  <c r="AJ6" i="2"/>
  <c r="AI6" i="2"/>
  <c r="AK5" i="2"/>
  <c r="AJ5" i="2"/>
  <c r="AI5" i="2"/>
  <c r="AK4" i="2"/>
  <c r="AJ4" i="2"/>
  <c r="AI4" i="2"/>
  <c r="X44" i="2"/>
  <c r="W44" i="2"/>
  <c r="Y44" i="2" s="1"/>
  <c r="X43" i="2"/>
  <c r="W43" i="2"/>
  <c r="V43" i="2"/>
  <c r="X42" i="2"/>
  <c r="W42" i="2"/>
  <c r="AA42" i="2" s="1"/>
  <c r="V42" i="2"/>
  <c r="Y42" i="2" s="1"/>
  <c r="AB42" i="2" s="1"/>
  <c r="X41" i="2"/>
  <c r="W41" i="2"/>
  <c r="V41" i="2"/>
  <c r="Y41" i="2" s="1"/>
  <c r="X40" i="2"/>
  <c r="X45" i="2" s="1"/>
  <c r="W40" i="2"/>
  <c r="W45" i="2" s="1"/>
  <c r="V40" i="2"/>
  <c r="X33" i="2"/>
  <c r="W33" i="2"/>
  <c r="X32" i="2"/>
  <c r="W32" i="2"/>
  <c r="V32" i="2"/>
  <c r="Y32" i="2" s="1"/>
  <c r="AB32" i="2" s="1"/>
  <c r="X31" i="2"/>
  <c r="W31" i="2"/>
  <c r="V31" i="2"/>
  <c r="Y31" i="2" s="1"/>
  <c r="X30" i="2"/>
  <c r="Y30" i="2" s="1"/>
  <c r="W30" i="2"/>
  <c r="V30" i="2"/>
  <c r="Y29" i="2"/>
  <c r="AB29" i="2" s="1"/>
  <c r="X29" i="2"/>
  <c r="W29" i="2"/>
  <c r="V29" i="2"/>
  <c r="V33" i="2" s="1"/>
  <c r="X28" i="2"/>
  <c r="W28" i="2"/>
  <c r="Y28" i="2" s="1"/>
  <c r="V28" i="2"/>
  <c r="X20" i="2"/>
  <c r="Y20" i="2" s="1"/>
  <c r="W20" i="2"/>
  <c r="V20" i="2"/>
  <c r="Y19" i="2"/>
  <c r="AB19" i="2" s="1"/>
  <c r="X19" i="2"/>
  <c r="W19" i="2"/>
  <c r="V19" i="2"/>
  <c r="X18" i="2"/>
  <c r="W18" i="2"/>
  <c r="V18" i="2"/>
  <c r="X17" i="2"/>
  <c r="W17" i="2"/>
  <c r="V17" i="2"/>
  <c r="X16" i="2"/>
  <c r="W16" i="2"/>
  <c r="V16" i="2"/>
  <c r="X8" i="2"/>
  <c r="W8" i="2"/>
  <c r="V8" i="2"/>
  <c r="X7" i="2"/>
  <c r="W7" i="2"/>
  <c r="V7" i="2"/>
  <c r="Y7" i="2" s="1"/>
  <c r="AB7" i="2" s="1"/>
  <c r="X6" i="2"/>
  <c r="W6" i="2"/>
  <c r="V6" i="2"/>
  <c r="Y6" i="2" s="1"/>
  <c r="X5" i="2"/>
  <c r="X9" i="2" s="1"/>
  <c r="W5" i="2"/>
  <c r="V5" i="2"/>
  <c r="AB4" i="2"/>
  <c r="Y4" i="2"/>
  <c r="AA4" i="2" s="1"/>
  <c r="X4" i="2"/>
  <c r="W4" i="2"/>
  <c r="V4" i="2"/>
  <c r="E42" i="2"/>
  <c r="K42" i="2"/>
  <c r="E43" i="2"/>
  <c r="K43" i="2"/>
  <c r="B44" i="2"/>
  <c r="C44" i="2"/>
  <c r="D44" i="2"/>
  <c r="H44" i="2"/>
  <c r="K44" i="2" s="1"/>
  <c r="I44" i="2"/>
  <c r="I50" i="2" s="1"/>
  <c r="J44" i="2"/>
  <c r="Q6" i="2"/>
  <c r="P6" i="2"/>
  <c r="O6" i="2"/>
  <c r="Q5" i="2"/>
  <c r="P5" i="2"/>
  <c r="O5" i="2"/>
  <c r="Q4" i="2"/>
  <c r="P4" i="2"/>
  <c r="O4" i="2"/>
  <c r="D32" i="2"/>
  <c r="C32" i="2"/>
  <c r="B32" i="2"/>
  <c r="D31" i="2"/>
  <c r="C31" i="2"/>
  <c r="B31" i="2"/>
  <c r="E31" i="2" s="1"/>
  <c r="D30" i="2"/>
  <c r="C30" i="2"/>
  <c r="B30" i="2"/>
  <c r="E30" i="2" s="1"/>
  <c r="D29" i="2"/>
  <c r="C29" i="2"/>
  <c r="B29" i="2"/>
  <c r="D28" i="2"/>
  <c r="D33" i="2" s="1"/>
  <c r="C28" i="2"/>
  <c r="B28" i="2"/>
  <c r="B33" i="2" s="1"/>
  <c r="B21" i="2"/>
  <c r="D20" i="2"/>
  <c r="C20" i="2"/>
  <c r="B20" i="2"/>
  <c r="E20" i="2" s="1"/>
  <c r="D19" i="2"/>
  <c r="C19" i="2"/>
  <c r="B19" i="2"/>
  <c r="E18" i="2"/>
  <c r="F18" i="2" s="1"/>
  <c r="D18" i="2"/>
  <c r="C18" i="2"/>
  <c r="B18" i="2"/>
  <c r="D17" i="2"/>
  <c r="C17" i="2"/>
  <c r="B17" i="2"/>
  <c r="D16" i="2"/>
  <c r="C16" i="2"/>
  <c r="B16" i="2"/>
  <c r="E8" i="2"/>
  <c r="F8" i="2" s="1"/>
  <c r="D8" i="2"/>
  <c r="C8" i="2"/>
  <c r="B8" i="2"/>
  <c r="D7" i="2"/>
  <c r="C7" i="2"/>
  <c r="B7" i="2"/>
  <c r="D6" i="2"/>
  <c r="C6" i="2"/>
  <c r="B6" i="2"/>
  <c r="D5" i="2"/>
  <c r="C5" i="2"/>
  <c r="B5" i="2"/>
  <c r="E5" i="2" s="1"/>
  <c r="D4" i="2"/>
  <c r="C4" i="2"/>
  <c r="C9" i="2" s="1"/>
  <c r="B4" i="2"/>
  <c r="Q57" i="1"/>
  <c r="P57" i="1"/>
  <c r="P63" i="1" s="1"/>
  <c r="O57" i="1"/>
  <c r="O62" i="1" s="1"/>
  <c r="N57" i="1"/>
  <c r="N62" i="1" s="1"/>
  <c r="J57" i="1"/>
  <c r="I57" i="1"/>
  <c r="H57" i="1"/>
  <c r="K57" i="1" s="1"/>
  <c r="D57" i="1"/>
  <c r="C57" i="1"/>
  <c r="B57" i="1"/>
  <c r="Q56" i="1"/>
  <c r="K56" i="1"/>
  <c r="E56" i="1"/>
  <c r="Q55" i="1"/>
  <c r="K55" i="1"/>
  <c r="E55" i="1"/>
  <c r="Q7" i="1"/>
  <c r="P7" i="1"/>
  <c r="O7" i="1"/>
  <c r="Q6" i="1"/>
  <c r="P6" i="1"/>
  <c r="O6" i="1"/>
  <c r="Q5" i="1"/>
  <c r="P5" i="1"/>
  <c r="O5" i="1"/>
  <c r="Q4" i="1"/>
  <c r="P4" i="1"/>
  <c r="O4" i="1"/>
  <c r="D43" i="1"/>
  <c r="C43" i="1"/>
  <c r="B43" i="1"/>
  <c r="D42" i="1"/>
  <c r="C42" i="1"/>
  <c r="B42" i="1"/>
  <c r="E42" i="1" s="1"/>
  <c r="F42" i="1" s="1"/>
  <c r="D41" i="1"/>
  <c r="C41" i="1"/>
  <c r="B41" i="1"/>
  <c r="D40" i="1"/>
  <c r="C40" i="1"/>
  <c r="B40" i="1"/>
  <c r="D32" i="1"/>
  <c r="C32" i="1"/>
  <c r="B32" i="1"/>
  <c r="D31" i="1"/>
  <c r="C31" i="1"/>
  <c r="B31" i="1"/>
  <c r="E31" i="1" s="1"/>
  <c r="H31" i="1" s="1"/>
  <c r="D30" i="1"/>
  <c r="C30" i="1"/>
  <c r="B30" i="1"/>
  <c r="D29" i="1"/>
  <c r="C29" i="1"/>
  <c r="B29" i="1"/>
  <c r="E29" i="1" s="1"/>
  <c r="H29" i="1" s="1"/>
  <c r="D28" i="1"/>
  <c r="C28" i="1"/>
  <c r="B28" i="1"/>
  <c r="D20" i="1"/>
  <c r="C20" i="1"/>
  <c r="B20" i="1"/>
  <c r="D19" i="1"/>
  <c r="C19" i="1"/>
  <c r="B19" i="1"/>
  <c r="E19" i="1" s="1"/>
  <c r="H19" i="1" s="1"/>
  <c r="D18" i="1"/>
  <c r="C18" i="1"/>
  <c r="B18" i="1"/>
  <c r="D17" i="1"/>
  <c r="C17" i="1"/>
  <c r="B17" i="1"/>
  <c r="D16" i="1"/>
  <c r="C16" i="1"/>
  <c r="B16" i="1"/>
  <c r="E16" i="1" s="1"/>
  <c r="F16" i="1" s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E4" i="1" s="1"/>
  <c r="AJ63" i="2" l="1"/>
  <c r="AI62" i="2"/>
  <c r="AJ62" i="2"/>
  <c r="W62" i="2"/>
  <c r="V62" i="2"/>
  <c r="X62" i="2"/>
  <c r="AH62" i="2"/>
  <c r="AG65" i="2" s="1"/>
  <c r="W63" i="2"/>
  <c r="AH63" i="2"/>
  <c r="AI63" i="2"/>
  <c r="V63" i="2"/>
  <c r="AB62" i="2"/>
  <c r="AD62" i="2"/>
  <c r="AB8" i="2"/>
  <c r="AA32" i="2"/>
  <c r="Z17" i="2"/>
  <c r="AA17" i="2"/>
  <c r="Z40" i="2"/>
  <c r="AB20" i="2"/>
  <c r="Z20" i="2"/>
  <c r="AC20" i="2" s="1"/>
  <c r="AA20" i="2"/>
  <c r="AB6" i="2"/>
  <c r="AA6" i="2"/>
  <c r="Z6" i="2"/>
  <c r="AC6" i="2" s="1"/>
  <c r="AB31" i="2"/>
  <c r="AA31" i="2"/>
  <c r="Z31" i="2"/>
  <c r="AC31" i="2" s="1"/>
  <c r="AB44" i="2"/>
  <c r="Z44" i="2"/>
  <c r="AA44" i="2"/>
  <c r="AA7" i="2"/>
  <c r="AB30" i="2"/>
  <c r="Z30" i="2"/>
  <c r="AA30" i="2"/>
  <c r="AB28" i="2"/>
  <c r="AA28" i="2"/>
  <c r="Y33" i="2"/>
  <c r="Z28" i="2"/>
  <c r="AB41" i="2"/>
  <c r="AA41" i="2"/>
  <c r="Z41" i="2"/>
  <c r="AC41" i="2" s="1"/>
  <c r="Z19" i="2"/>
  <c r="AC19" i="2" s="1"/>
  <c r="Z29" i="2"/>
  <c r="Y8" i="2"/>
  <c r="Z8" i="2" s="1"/>
  <c r="Y18" i="2"/>
  <c r="Z18" i="2" s="1"/>
  <c r="AA19" i="2"/>
  <c r="AA29" i="2"/>
  <c r="V9" i="2"/>
  <c r="Z4" i="2"/>
  <c r="Y5" i="2"/>
  <c r="W9" i="2"/>
  <c r="Y43" i="2"/>
  <c r="Z43" i="2" s="1"/>
  <c r="Y17" i="2"/>
  <c r="AB17" i="2" s="1"/>
  <c r="W21" i="2"/>
  <c r="V45" i="2"/>
  <c r="Z7" i="2"/>
  <c r="X21" i="2"/>
  <c r="Z32" i="2"/>
  <c r="AC32" i="2" s="1"/>
  <c r="Y40" i="2"/>
  <c r="Z42" i="2"/>
  <c r="AC42" i="2" s="1"/>
  <c r="Y16" i="2"/>
  <c r="Y21" i="2" s="1"/>
  <c r="V21" i="2"/>
  <c r="H50" i="2"/>
  <c r="J50" i="2"/>
  <c r="I51" i="2"/>
  <c r="E44" i="2"/>
  <c r="J51" i="2"/>
  <c r="H51" i="2"/>
  <c r="G20" i="2"/>
  <c r="G30" i="2"/>
  <c r="H20" i="2"/>
  <c r="H30" i="2"/>
  <c r="H4" i="2"/>
  <c r="G31" i="2"/>
  <c r="G5" i="2"/>
  <c r="H31" i="2"/>
  <c r="H6" i="2"/>
  <c r="H5" i="2"/>
  <c r="I8" i="2"/>
  <c r="F6" i="2"/>
  <c r="F19" i="2"/>
  <c r="G8" i="2"/>
  <c r="E17" i="2"/>
  <c r="F17" i="2" s="1"/>
  <c r="G18" i="2"/>
  <c r="I18" i="2" s="1"/>
  <c r="C21" i="2"/>
  <c r="E32" i="2"/>
  <c r="F32" i="2" s="1"/>
  <c r="H18" i="2"/>
  <c r="H8" i="2"/>
  <c r="D21" i="2"/>
  <c r="E6" i="2"/>
  <c r="G6" i="2" s="1"/>
  <c r="E4" i="2"/>
  <c r="B9" i="2"/>
  <c r="F31" i="2"/>
  <c r="I31" i="2" s="1"/>
  <c r="E16" i="2"/>
  <c r="E7" i="2"/>
  <c r="F7" i="2" s="1"/>
  <c r="G4" i="2"/>
  <c r="F5" i="2"/>
  <c r="D9" i="2"/>
  <c r="F20" i="2"/>
  <c r="E28" i="2"/>
  <c r="F30" i="2"/>
  <c r="E19" i="2"/>
  <c r="F28" i="2"/>
  <c r="E29" i="2"/>
  <c r="C33" i="2"/>
  <c r="I62" i="1"/>
  <c r="J62" i="1"/>
  <c r="P62" i="1"/>
  <c r="M65" i="1" s="1"/>
  <c r="E57" i="1"/>
  <c r="C63" i="1" s="1"/>
  <c r="D63" i="1"/>
  <c r="H63" i="1"/>
  <c r="H62" i="1"/>
  <c r="I63" i="1"/>
  <c r="J63" i="1"/>
  <c r="N63" i="1"/>
  <c r="O63" i="1"/>
  <c r="E6" i="1"/>
  <c r="H6" i="1"/>
  <c r="F6" i="1"/>
  <c r="H16" i="1"/>
  <c r="F31" i="1"/>
  <c r="G16" i="1"/>
  <c r="I16" i="1" s="1"/>
  <c r="E18" i="1"/>
  <c r="G18" i="1" s="1"/>
  <c r="B44" i="1"/>
  <c r="H42" i="1"/>
  <c r="G31" i="1"/>
  <c r="H4" i="1"/>
  <c r="E5" i="1"/>
  <c r="F5" i="1" s="1"/>
  <c r="E8" i="1"/>
  <c r="C44" i="1"/>
  <c r="E43" i="1"/>
  <c r="G43" i="1" s="1"/>
  <c r="E32" i="1"/>
  <c r="G32" i="1" s="1"/>
  <c r="E7" i="1"/>
  <c r="G7" i="1" s="1"/>
  <c r="E30" i="1"/>
  <c r="F30" i="1" s="1"/>
  <c r="D21" i="1"/>
  <c r="D44" i="1"/>
  <c r="H5" i="1"/>
  <c r="H8" i="1"/>
  <c r="G8" i="1"/>
  <c r="F8" i="1"/>
  <c r="G29" i="1"/>
  <c r="F43" i="1"/>
  <c r="F28" i="1"/>
  <c r="G28" i="1"/>
  <c r="H18" i="1"/>
  <c r="G19" i="1"/>
  <c r="F4" i="1"/>
  <c r="C9" i="1"/>
  <c r="E20" i="1"/>
  <c r="F20" i="1" s="1"/>
  <c r="E40" i="1"/>
  <c r="G40" i="1" s="1"/>
  <c r="B21" i="1"/>
  <c r="E17" i="1"/>
  <c r="F17" i="1" s="1"/>
  <c r="C21" i="1"/>
  <c r="E28" i="1"/>
  <c r="H28" i="1" s="1"/>
  <c r="B33" i="1"/>
  <c r="E41" i="1"/>
  <c r="G41" i="1" s="1"/>
  <c r="G42" i="1"/>
  <c r="G5" i="1"/>
  <c r="I5" i="1" s="1"/>
  <c r="C33" i="1"/>
  <c r="F41" i="1"/>
  <c r="F19" i="1"/>
  <c r="I19" i="1" s="1"/>
  <c r="F29" i="1"/>
  <c r="D33" i="1"/>
  <c r="G6" i="1"/>
  <c r="I6" i="1" s="1"/>
  <c r="G4" i="1"/>
  <c r="D9" i="1"/>
  <c r="U65" i="2" l="1"/>
  <c r="AA65" i="2"/>
  <c r="AC30" i="2"/>
  <c r="Z34" i="2"/>
  <c r="Z35" i="2" s="1"/>
  <c r="AC28" i="2"/>
  <c r="Z33" i="2"/>
  <c r="AD28" i="2" s="1"/>
  <c r="AC17" i="2"/>
  <c r="Z10" i="2"/>
  <c r="Z11" i="2" s="1"/>
  <c r="AC4" i="2"/>
  <c r="Z9" i="2"/>
  <c r="AD4" i="2" s="1"/>
  <c r="AC7" i="2"/>
  <c r="AC44" i="2"/>
  <c r="AB43" i="2"/>
  <c r="Z46" i="2"/>
  <c r="Z47" i="2" s="1"/>
  <c r="Z45" i="2"/>
  <c r="AD40" i="2" s="1"/>
  <c r="AA5" i="2"/>
  <c r="Y9" i="2"/>
  <c r="Z5" i="2"/>
  <c r="AB5" i="2"/>
  <c r="AB16" i="2"/>
  <c r="AA33" i="2"/>
  <c r="AE28" i="2" s="1"/>
  <c r="AA34" i="2"/>
  <c r="AA35" i="2" s="1"/>
  <c r="Z16" i="2"/>
  <c r="AC18" i="2"/>
  <c r="AB33" i="2"/>
  <c r="AF28" i="2" s="1"/>
  <c r="AB34" i="2"/>
  <c r="AB35" i="2" s="1"/>
  <c r="AB40" i="2"/>
  <c r="Y45" i="2"/>
  <c r="AA40" i="2"/>
  <c r="AC40" i="2" s="1"/>
  <c r="AC8" i="2"/>
  <c r="AA18" i="2"/>
  <c r="AB18" i="2"/>
  <c r="AA43" i="2"/>
  <c r="AC43" i="2" s="1"/>
  <c r="AC29" i="2"/>
  <c r="AA16" i="2"/>
  <c r="AA8" i="2"/>
  <c r="D50" i="2"/>
  <c r="C50" i="2"/>
  <c r="B51" i="2"/>
  <c r="B50" i="2"/>
  <c r="D51" i="2"/>
  <c r="C51" i="2"/>
  <c r="G54" i="2"/>
  <c r="I6" i="2"/>
  <c r="I28" i="2"/>
  <c r="F34" i="2"/>
  <c r="F35" i="2" s="1"/>
  <c r="G29" i="2"/>
  <c r="H29" i="2"/>
  <c r="H17" i="2"/>
  <c r="I17" i="2" s="1"/>
  <c r="G19" i="2"/>
  <c r="I19" i="2" s="1"/>
  <c r="H19" i="2"/>
  <c r="H7" i="2"/>
  <c r="I30" i="2"/>
  <c r="E9" i="2"/>
  <c r="H32" i="2"/>
  <c r="E21" i="2"/>
  <c r="G16" i="2"/>
  <c r="F16" i="2"/>
  <c r="E33" i="2"/>
  <c r="H28" i="2"/>
  <c r="I20" i="2"/>
  <c r="H16" i="2"/>
  <c r="G28" i="2"/>
  <c r="G17" i="2"/>
  <c r="H9" i="2"/>
  <c r="L4" i="2" s="1"/>
  <c r="H10" i="2"/>
  <c r="H11" i="2" s="1"/>
  <c r="G32" i="2"/>
  <c r="I32" i="2" s="1"/>
  <c r="G7" i="2"/>
  <c r="I7" i="2" s="1"/>
  <c r="I5" i="2"/>
  <c r="F29" i="2"/>
  <c r="F4" i="2"/>
  <c r="B62" i="1"/>
  <c r="G65" i="1"/>
  <c r="C62" i="1"/>
  <c r="D62" i="1"/>
  <c r="B63" i="1"/>
  <c r="I8" i="1"/>
  <c r="F32" i="1"/>
  <c r="F7" i="1"/>
  <c r="H43" i="1"/>
  <c r="I43" i="1"/>
  <c r="I42" i="1"/>
  <c r="H7" i="1"/>
  <c r="H9" i="1" s="1"/>
  <c r="L4" i="1" s="1"/>
  <c r="H32" i="1"/>
  <c r="I31" i="1"/>
  <c r="H20" i="1"/>
  <c r="H30" i="1"/>
  <c r="F18" i="1"/>
  <c r="E9" i="1"/>
  <c r="G30" i="1"/>
  <c r="G34" i="1" s="1"/>
  <c r="G35" i="1" s="1"/>
  <c r="E33" i="1"/>
  <c r="G33" i="1"/>
  <c r="K28" i="1" s="1"/>
  <c r="F40" i="1"/>
  <c r="E44" i="1"/>
  <c r="F22" i="1"/>
  <c r="F23" i="1" s="1"/>
  <c r="G45" i="1"/>
  <c r="G46" i="1" s="1"/>
  <c r="G44" i="1"/>
  <c r="K40" i="1" s="1"/>
  <c r="F34" i="1"/>
  <c r="F35" i="1" s="1"/>
  <c r="F33" i="1"/>
  <c r="J28" i="1" s="1"/>
  <c r="I28" i="1"/>
  <c r="H40" i="1"/>
  <c r="H17" i="1"/>
  <c r="E21" i="1"/>
  <c r="G17" i="1"/>
  <c r="F21" i="1"/>
  <c r="J16" i="1" s="1"/>
  <c r="G9" i="1"/>
  <c r="K4" i="1" s="1"/>
  <c r="G10" i="1"/>
  <c r="G11" i="1" s="1"/>
  <c r="I4" i="1"/>
  <c r="F10" i="1"/>
  <c r="F11" i="1" s="1"/>
  <c r="H41" i="1"/>
  <c r="I41" i="1" s="1"/>
  <c r="I18" i="1"/>
  <c r="I29" i="1"/>
  <c r="G20" i="1"/>
  <c r="I20" i="1" s="1"/>
  <c r="AB10" i="2" l="1"/>
  <c r="AB11" i="2" s="1"/>
  <c r="AB9" i="2"/>
  <c r="AF4" i="2" s="1"/>
  <c r="AB45" i="2"/>
  <c r="AF40" i="2" s="1"/>
  <c r="AB46" i="2"/>
  <c r="AB47" i="2" s="1"/>
  <c r="AC5" i="2"/>
  <c r="AA22" i="2"/>
  <c r="AA23" i="2" s="1"/>
  <c r="AA21" i="2"/>
  <c r="AE16" i="2" s="1"/>
  <c r="AA10" i="2"/>
  <c r="AA11" i="2" s="1"/>
  <c r="AA9" i="2"/>
  <c r="AE4" i="2" s="1"/>
  <c r="AB22" i="2"/>
  <c r="AB23" i="2" s="1"/>
  <c r="AB21" i="2"/>
  <c r="AF16" i="2" s="1"/>
  <c r="Z22" i="2"/>
  <c r="Z23" i="2" s="1"/>
  <c r="Z21" i="2"/>
  <c r="AD16" i="2" s="1"/>
  <c r="AC16" i="2"/>
  <c r="AA46" i="2"/>
  <c r="AA47" i="2" s="1"/>
  <c r="AA45" i="2"/>
  <c r="AE40" i="2" s="1"/>
  <c r="A54" i="2"/>
  <c r="I16" i="2"/>
  <c r="F22" i="2"/>
  <c r="F23" i="2" s="1"/>
  <c r="F21" i="2"/>
  <c r="J16" i="2" s="1"/>
  <c r="G22" i="2"/>
  <c r="G23" i="2" s="1"/>
  <c r="G21" i="2"/>
  <c r="K16" i="2" s="1"/>
  <c r="F9" i="2"/>
  <c r="J4" i="2" s="1"/>
  <c r="I4" i="2"/>
  <c r="F10" i="2"/>
  <c r="F11" i="2" s="1"/>
  <c r="I29" i="2"/>
  <c r="G34" i="2"/>
  <c r="G35" i="2" s="1"/>
  <c r="G33" i="2"/>
  <c r="K28" i="2" s="1"/>
  <c r="F33" i="2"/>
  <c r="J28" i="2" s="1"/>
  <c r="H21" i="2"/>
  <c r="L16" i="2" s="1"/>
  <c r="H22" i="2"/>
  <c r="H23" i="2" s="1"/>
  <c r="G9" i="2"/>
  <c r="K4" i="2" s="1"/>
  <c r="G10" i="2"/>
  <c r="G11" i="2" s="1"/>
  <c r="H34" i="2"/>
  <c r="H35" i="2" s="1"/>
  <c r="H33" i="2"/>
  <c r="L28" i="2" s="1"/>
  <c r="A65" i="1"/>
  <c r="I7" i="1"/>
  <c r="F9" i="1"/>
  <c r="J4" i="1" s="1"/>
  <c r="I32" i="1"/>
  <c r="I30" i="1"/>
  <c r="H34" i="1"/>
  <c r="H35" i="1" s="1"/>
  <c r="H10" i="1"/>
  <c r="H11" i="1" s="1"/>
  <c r="H33" i="1"/>
  <c r="L28" i="1" s="1"/>
  <c r="H21" i="1"/>
  <c r="L16" i="1" s="1"/>
  <c r="H22" i="1"/>
  <c r="H23" i="1" s="1"/>
  <c r="H45" i="1"/>
  <c r="H46" i="1" s="1"/>
  <c r="H44" i="1"/>
  <c r="L40" i="1" s="1"/>
  <c r="I40" i="1"/>
  <c r="F45" i="1"/>
  <c r="F46" i="1" s="1"/>
  <c r="F44" i="1"/>
  <c r="J40" i="1" s="1"/>
  <c r="G21" i="1"/>
  <c r="K16" i="1" s="1"/>
  <c r="G22" i="1"/>
  <c r="G23" i="1" s="1"/>
  <c r="I17" i="1"/>
</calcChain>
</file>

<file path=xl/sharedStrings.xml><?xml version="1.0" encoding="utf-8"?>
<sst xmlns="http://schemas.openxmlformats.org/spreadsheetml/2006/main" count="363" uniqueCount="67">
  <si>
    <t>Day 7</t>
  </si>
  <si>
    <t>aRW</t>
  </si>
  <si>
    <t>Proper SG</t>
  </si>
  <si>
    <t>Mix of some sebocytes and some epithelial cells?</t>
  </si>
  <si>
    <t>Could not see any sebocytes</t>
  </si>
  <si>
    <t>Total</t>
  </si>
  <si>
    <t>proper SG %</t>
  </si>
  <si>
    <t>mixed SG %</t>
  </si>
  <si>
    <t>SG with only epithelial cells %</t>
  </si>
  <si>
    <t>Total %</t>
  </si>
  <si>
    <t>Mixed SG</t>
  </si>
  <si>
    <t>No sebocyte SG</t>
  </si>
  <si>
    <t>1</t>
  </si>
  <si>
    <t>2</t>
  </si>
  <si>
    <t>3</t>
  </si>
  <si>
    <t>4</t>
  </si>
  <si>
    <t>5</t>
  </si>
  <si>
    <t>Average</t>
  </si>
  <si>
    <t>stdev</t>
  </si>
  <si>
    <t>sem</t>
  </si>
  <si>
    <t>aN1</t>
  </si>
  <si>
    <t>11</t>
  </si>
  <si>
    <t>12</t>
  </si>
  <si>
    <t>13</t>
  </si>
  <si>
    <t>14</t>
  </si>
  <si>
    <t>15</t>
  </si>
  <si>
    <t>aN2</t>
  </si>
  <si>
    <t>16</t>
  </si>
  <si>
    <t>17</t>
  </si>
  <si>
    <t>18</t>
  </si>
  <si>
    <t>19</t>
  </si>
  <si>
    <t>20</t>
  </si>
  <si>
    <t>aN1N2</t>
  </si>
  <si>
    <t>21</t>
  </si>
  <si>
    <t>22</t>
  </si>
  <si>
    <t>23</t>
  </si>
  <si>
    <t>25</t>
  </si>
  <si>
    <t>observed</t>
  </si>
  <si>
    <t>total</t>
  </si>
  <si>
    <t>expected</t>
  </si>
  <si>
    <t>Chi square test</t>
  </si>
  <si>
    <t>Day 3</t>
  </si>
  <si>
    <t>1-1</t>
  </si>
  <si>
    <t>1-2</t>
  </si>
  <si>
    <t>1-3</t>
  </si>
  <si>
    <t>1-4</t>
  </si>
  <si>
    <t>1-5</t>
  </si>
  <si>
    <t>aJAG1</t>
  </si>
  <si>
    <t>2-6</t>
  </si>
  <si>
    <t>2-7</t>
  </si>
  <si>
    <t>2-8</t>
  </si>
  <si>
    <t>2-9</t>
  </si>
  <si>
    <t>2-10</t>
  </si>
  <si>
    <t>aJAG2</t>
  </si>
  <si>
    <t>3-11</t>
  </si>
  <si>
    <t>3-12</t>
  </si>
  <si>
    <t>3-13</t>
  </si>
  <si>
    <t>3-14</t>
  </si>
  <si>
    <t>3-15</t>
  </si>
  <si>
    <t>Observed</t>
  </si>
  <si>
    <t>Expected</t>
  </si>
  <si>
    <t>aJ1J2</t>
  </si>
  <si>
    <t>4-16</t>
  </si>
  <si>
    <t>4-17</t>
  </si>
  <si>
    <t>4-18</t>
  </si>
  <si>
    <t>4-19</t>
  </si>
  <si>
    <t>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</si>
</sst>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right"/>
    </xf>
    <xf numFmtId="9" fontId="0" fillId="0" borderId="0" xfId="1" applyFont="1"/>
    <xf numFmtId="9" fontId="0" fillId="0" borderId="0" xfId="0" applyNumberFormat="1"/>
    <xf numFmtId="9" fontId="2" fillId="0" borderId="0" xfId="0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9" fontId="2" fillId="0" borderId="0" xfId="1" applyFont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/>
              <a:t>7 days post antibody treatment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[1]MSR20289!$O$3</c:f>
              <c:strCache>
                <c:ptCount val="1"/>
                <c:pt idx="0">
                  <c:v>Proper SG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([1]MSR20289!$F$11,[1]MSR20289!$F$23,[1]MSR20289!$F$35,[1]MSR20289!$F$57)</c:f>
                <c:numCache>
                  <c:formatCode>General</c:formatCode>
                  <c:ptCount val="4"/>
                  <c:pt idx="0">
                    <c:v>1.2063128043644436E-2</c:v>
                  </c:pt>
                  <c:pt idx="1">
                    <c:v>1.4119093460502902E-2</c:v>
                  </c:pt>
                  <c:pt idx="2">
                    <c:v>8.577871609896235E-3</c:v>
                  </c:pt>
                  <c:pt idx="3">
                    <c:v>9.433962264150943E-3</c:v>
                  </c:pt>
                </c:numCache>
              </c:numRef>
            </c:plus>
            <c:minus>
              <c:numRef>
                <c:f>([1]MSR20289!$F$11,[1]MSR20289!$F$23,[1]MSR20289!$F$35,[1]MSR20289!$F$57)</c:f>
                <c:numCache>
                  <c:formatCode>General</c:formatCode>
                  <c:ptCount val="4"/>
                  <c:pt idx="0">
                    <c:v>1.2063128043644436E-2</c:v>
                  </c:pt>
                  <c:pt idx="1">
                    <c:v>1.4119093460502902E-2</c:v>
                  </c:pt>
                  <c:pt idx="2">
                    <c:v>8.577871609896235E-3</c:v>
                  </c:pt>
                  <c:pt idx="3">
                    <c:v>9.433962264150943E-3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[1]MSR20289!$N$4:$N$7</c:f>
              <c:strCache>
                <c:ptCount val="4"/>
                <c:pt idx="0">
                  <c:v>aRW</c:v>
                </c:pt>
                <c:pt idx="1">
                  <c:v>aN1</c:v>
                </c:pt>
                <c:pt idx="2">
                  <c:v>aN2</c:v>
                </c:pt>
                <c:pt idx="3">
                  <c:v>aN1N2</c:v>
                </c:pt>
              </c:strCache>
            </c:strRef>
          </c:cat>
          <c:val>
            <c:numRef>
              <c:f>[1]MSR20289!$O$4:$O$7</c:f>
              <c:numCache>
                <c:formatCode>0%</c:formatCode>
                <c:ptCount val="4"/>
                <c:pt idx="0">
                  <c:v>0.92526557565317247</c:v>
                </c:pt>
                <c:pt idx="1">
                  <c:v>3.4283371563203838E-2</c:v>
                </c:pt>
                <c:pt idx="2">
                  <c:v>0.89844425038454889</c:v>
                </c:pt>
                <c:pt idx="3">
                  <c:v>9.433962264150943E-3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0E44-AA63-B34690C189E2}"/>
            </c:ext>
          </c:extLst>
        </c:ser>
        <c:ser>
          <c:idx val="1"/>
          <c:order val="1"/>
          <c:tx>
            <c:strRef>
              <c:f>[1]MSR20289!$P$3</c:f>
              <c:strCache>
                <c:ptCount val="1"/>
                <c:pt idx="0">
                  <c:v>Mixed SG</c:v>
                </c:pt>
              </c:strCache>
            </c:strRef>
          </c:tx>
          <c:spPr>
            <a:solidFill>
              <a:srgbClr val="00919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([1]MSR20289!$G$11,[1]MSR20289!$G$23,[1]MSR20289!$G$35,[1]MSR20289!$G$57)</c:f>
                <c:numCache>
                  <c:formatCode>General</c:formatCode>
                  <c:ptCount val="4"/>
                  <c:pt idx="0">
                    <c:v>6.496403607996408E-3</c:v>
                  </c:pt>
                  <c:pt idx="1">
                    <c:v>4.4816346523863987E-2</c:v>
                  </c:pt>
                  <c:pt idx="2">
                    <c:v>9.4902244345702828E-3</c:v>
                  </c:pt>
                  <c:pt idx="3">
                    <c:v>6.8158036145342882E-2</c:v>
                  </c:pt>
                </c:numCache>
              </c:numRef>
            </c:plus>
            <c:minus>
              <c:numRef>
                <c:f>([1]MSR20289!$G$11,[1]MSR20289!$G$23,[1]MSR20289!$G$35,[1]MSR20289!$G$57)</c:f>
                <c:numCache>
                  <c:formatCode>General</c:formatCode>
                  <c:ptCount val="4"/>
                  <c:pt idx="0">
                    <c:v>6.496403607996408E-3</c:v>
                  </c:pt>
                  <c:pt idx="1">
                    <c:v>4.4816346523863987E-2</c:v>
                  </c:pt>
                  <c:pt idx="2">
                    <c:v>9.4902244345702828E-3</c:v>
                  </c:pt>
                  <c:pt idx="3">
                    <c:v>6.8158036145342882E-2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[1]MSR20289!$N$4:$N$7</c:f>
              <c:strCache>
                <c:ptCount val="4"/>
                <c:pt idx="0">
                  <c:v>aRW</c:v>
                </c:pt>
                <c:pt idx="1">
                  <c:v>aN1</c:v>
                </c:pt>
                <c:pt idx="2">
                  <c:v>aN2</c:v>
                </c:pt>
                <c:pt idx="3">
                  <c:v>aN1N2</c:v>
                </c:pt>
              </c:strCache>
            </c:strRef>
          </c:cat>
          <c:val>
            <c:numRef>
              <c:f>[1]MSR20289!$P$4:$P$7</c:f>
              <c:numCache>
                <c:formatCode>0%</c:formatCode>
                <c:ptCount val="4"/>
                <c:pt idx="0">
                  <c:v>5.1527008736311067E-2</c:v>
                </c:pt>
                <c:pt idx="1">
                  <c:v>0.51659253811578221</c:v>
                </c:pt>
                <c:pt idx="2">
                  <c:v>6.9327582461910828E-2</c:v>
                </c:pt>
                <c:pt idx="3">
                  <c:v>0.22528451375008002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6-0E44-AA63-B34690C189E2}"/>
            </c:ext>
          </c:extLst>
        </c:ser>
        <c:ser>
          <c:idx val="2"/>
          <c:order val="2"/>
          <c:tx>
            <c:strRef>
              <c:f>[1]MSR20289!$Q$3</c:f>
              <c:strCache>
                <c:ptCount val="1"/>
                <c:pt idx="0">
                  <c:v>No sebocyte SG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([1]MSR20289!$H$11,[1]MSR20289!$H$23,[1]MSR20289!$H$35,[1]MSR20289!$H$57)</c:f>
                <c:numCache>
                  <c:formatCode>General</c:formatCode>
                  <c:ptCount val="4"/>
                  <c:pt idx="0">
                    <c:v>5.9321109412559083E-3</c:v>
                  </c:pt>
                  <c:pt idx="1">
                    <c:v>5.5435602043669263E-2</c:v>
                  </c:pt>
                  <c:pt idx="2">
                    <c:v>8.8180477831121158E-3</c:v>
                  </c:pt>
                  <c:pt idx="3">
                    <c:v>7.6995389634417724E-2</c:v>
                  </c:pt>
                </c:numCache>
              </c:numRef>
            </c:plus>
            <c:minus>
              <c:numRef>
                <c:f>([1]MSR20289!$H$11,[1]MSR20289!$H$23,[1]MSR20289!$H$35,[1]MSR20289!$H$57)</c:f>
                <c:numCache>
                  <c:formatCode>General</c:formatCode>
                  <c:ptCount val="4"/>
                  <c:pt idx="0">
                    <c:v>5.9321109412559083E-3</c:v>
                  </c:pt>
                  <c:pt idx="1">
                    <c:v>5.5435602043669263E-2</c:v>
                  </c:pt>
                  <c:pt idx="2">
                    <c:v>8.8180477831121158E-3</c:v>
                  </c:pt>
                  <c:pt idx="3">
                    <c:v>7.6995389634417724E-2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[1]MSR20289!$N$4:$N$7</c:f>
              <c:strCache>
                <c:ptCount val="4"/>
                <c:pt idx="0">
                  <c:v>aRW</c:v>
                </c:pt>
                <c:pt idx="1">
                  <c:v>aN1</c:v>
                </c:pt>
                <c:pt idx="2">
                  <c:v>aN2</c:v>
                </c:pt>
                <c:pt idx="3">
                  <c:v>aN1N2</c:v>
                </c:pt>
              </c:strCache>
            </c:strRef>
          </c:cat>
          <c:val>
            <c:numRef>
              <c:f>[1]MSR20289!$Q$4:$Q$7</c:f>
              <c:numCache>
                <c:formatCode>0%</c:formatCode>
                <c:ptCount val="4"/>
                <c:pt idx="0">
                  <c:v>2.3207415610516386E-2</c:v>
                </c:pt>
                <c:pt idx="1">
                  <c:v>0.44912409032101391</c:v>
                </c:pt>
                <c:pt idx="2">
                  <c:v>3.2228167153540287E-2</c:v>
                </c:pt>
                <c:pt idx="3">
                  <c:v>0.7652815239857691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6-0E44-AA63-B34690C1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3 days post antibody treatment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[1]MSR17412!$O$3</c:f>
              <c:strCache>
                <c:ptCount val="1"/>
                <c:pt idx="0">
                  <c:v>Proper SG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([1]MSR17412!$F$11,[1]MSR17412!$F$23,[1]MSR17412!$F$35)</c:f>
                <c:numCache>
                  <c:formatCode>General</c:formatCode>
                  <c:ptCount val="3"/>
                  <c:pt idx="0">
                    <c:v>1.9682910870523533E-2</c:v>
                  </c:pt>
                  <c:pt idx="1">
                    <c:v>4.9925494958882851E-3</c:v>
                  </c:pt>
                  <c:pt idx="2">
                    <c:v>1.1873443434061135E-2</c:v>
                  </c:pt>
                </c:numCache>
              </c:numRef>
            </c:plus>
            <c:minus>
              <c:numRef>
                <c:f>([1]MSR17412!$F$11,[1]MSR17412!$F$23,[1]MSR17412!$F$35)</c:f>
                <c:numCache>
                  <c:formatCode>General</c:formatCode>
                  <c:ptCount val="3"/>
                  <c:pt idx="0">
                    <c:v>1.9682910870523533E-2</c:v>
                  </c:pt>
                  <c:pt idx="1">
                    <c:v>4.9925494958882851E-3</c:v>
                  </c:pt>
                  <c:pt idx="2">
                    <c:v>1.1873443434061135E-2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[1]MSR17412!$N$4:$N$6</c:f>
              <c:strCache>
                <c:ptCount val="3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</c:strCache>
            </c:strRef>
          </c:cat>
          <c:val>
            <c:numRef>
              <c:f>[1]MSR17412!$O$4:$O$6</c:f>
              <c:numCache>
                <c:formatCode>0%</c:formatCode>
                <c:ptCount val="3"/>
                <c:pt idx="0">
                  <c:v>0.89561113874845266</c:v>
                </c:pt>
                <c:pt idx="1">
                  <c:v>0.9037928478417816</c:v>
                </c:pt>
                <c:pt idx="2">
                  <c:v>0.83785784796262308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5-8D43-851E-66DF3655B452}"/>
            </c:ext>
          </c:extLst>
        </c:ser>
        <c:ser>
          <c:idx val="1"/>
          <c:order val="1"/>
          <c:tx>
            <c:strRef>
              <c:f>[1]MSR17412!$P$3</c:f>
              <c:strCache>
                <c:ptCount val="1"/>
                <c:pt idx="0">
                  <c:v>Mixed SG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([1]MSR17412!$G$11,[1]MSR17412!$G$23,[1]MSR17412!$G$35)</c:f>
                <c:numCache>
                  <c:formatCode>General</c:formatCode>
                  <c:ptCount val="3"/>
                  <c:pt idx="0">
                    <c:v>1.2517986575533531E-2</c:v>
                  </c:pt>
                  <c:pt idx="1">
                    <c:v>2.7220548710880275E-3</c:v>
                  </c:pt>
                  <c:pt idx="2">
                    <c:v>6.1979065125126794E-3</c:v>
                  </c:pt>
                </c:numCache>
              </c:numRef>
            </c:plus>
            <c:minus>
              <c:numRef>
                <c:f>([1]MSR17412!$G$11,[1]MSR17412!$G$23,[1]MSR17412!$G$35)</c:f>
                <c:numCache>
                  <c:formatCode>General</c:formatCode>
                  <c:ptCount val="3"/>
                  <c:pt idx="0">
                    <c:v>1.2517986575533531E-2</c:v>
                  </c:pt>
                  <c:pt idx="1">
                    <c:v>2.7220548710880275E-3</c:v>
                  </c:pt>
                  <c:pt idx="2">
                    <c:v>6.1979065125126794E-3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[1]MSR17412!$N$4:$N$6</c:f>
              <c:strCache>
                <c:ptCount val="3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</c:strCache>
            </c:strRef>
          </c:cat>
          <c:val>
            <c:numRef>
              <c:f>[1]MSR17412!$P$4:$P$6</c:f>
              <c:numCache>
                <c:formatCode>0%</c:formatCode>
                <c:ptCount val="3"/>
                <c:pt idx="0">
                  <c:v>6.5043432403561752E-2</c:v>
                </c:pt>
                <c:pt idx="1">
                  <c:v>6.7958994273953341E-2</c:v>
                </c:pt>
                <c:pt idx="2">
                  <c:v>0.10644239599025369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5-8D43-851E-66DF3655B452}"/>
            </c:ext>
          </c:extLst>
        </c:ser>
        <c:ser>
          <c:idx val="2"/>
          <c:order val="2"/>
          <c:tx>
            <c:strRef>
              <c:f>[1]MSR17412!$Q$3</c:f>
              <c:strCache>
                <c:ptCount val="1"/>
                <c:pt idx="0">
                  <c:v>No sebocyte SG</c:v>
                </c:pt>
              </c:strCache>
            </c:strRef>
          </c:tx>
          <c:spPr>
            <a:solidFill>
              <a:srgbClr val="00919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([1]MSR17412!$H$11,[1]MSR17412!$H$23,[1]MSR17412!$H$35)</c:f>
                <c:numCache>
                  <c:formatCode>General</c:formatCode>
                  <c:ptCount val="3"/>
                  <c:pt idx="0">
                    <c:v>8.0525008587275376E-3</c:v>
                  </c:pt>
                  <c:pt idx="1">
                    <c:v>4.2065787730409159E-3</c:v>
                  </c:pt>
                  <c:pt idx="2">
                    <c:v>8.2029138870795132E-3</c:v>
                  </c:pt>
                </c:numCache>
              </c:numRef>
            </c:plus>
            <c:minus>
              <c:numRef>
                <c:f>([1]MSR17412!$H$11,[1]MSR17412!$H$23,[1]MSR17412!$H$35)</c:f>
                <c:numCache>
                  <c:formatCode>General</c:formatCode>
                  <c:ptCount val="3"/>
                  <c:pt idx="0">
                    <c:v>8.0525008587275376E-3</c:v>
                  </c:pt>
                  <c:pt idx="1">
                    <c:v>4.2065787730409159E-3</c:v>
                  </c:pt>
                  <c:pt idx="2">
                    <c:v>8.2029138870795132E-3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[1]MSR17412!$N$4:$N$6</c:f>
              <c:strCache>
                <c:ptCount val="3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</c:strCache>
            </c:strRef>
          </c:cat>
          <c:val>
            <c:numRef>
              <c:f>[1]MSR17412!$Q$4:$Q$6</c:f>
              <c:numCache>
                <c:formatCode>0%</c:formatCode>
                <c:ptCount val="3"/>
                <c:pt idx="0">
                  <c:v>3.9345428847985628E-2</c:v>
                </c:pt>
                <c:pt idx="1">
                  <c:v>2.8248157884265029E-2</c:v>
                </c:pt>
                <c:pt idx="2">
                  <c:v>5.5699756047123274E-2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5-8D43-851E-66DF3655B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7 days post antibody treatment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[1]MSR18032!$O$3</c:f>
              <c:strCache>
                <c:ptCount val="1"/>
                <c:pt idx="0">
                  <c:v>Proper SG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([1]MSR18032!$F$11,[1]MSR18032!$F$23,[1]MSR18032!$F$35,[1]MSR18032!$F$47)</c:f>
                <c:numCache>
                  <c:formatCode>General</c:formatCode>
                  <c:ptCount val="4"/>
                  <c:pt idx="0">
                    <c:v>5.2315527941923833E-3</c:v>
                  </c:pt>
                  <c:pt idx="1">
                    <c:v>1.6400051603060496E-2</c:v>
                  </c:pt>
                  <c:pt idx="2">
                    <c:v>1.1510351837760575E-2</c:v>
                  </c:pt>
                  <c:pt idx="3">
                    <c:v>1.986198465731575E-2</c:v>
                  </c:pt>
                </c:numCache>
              </c:numRef>
            </c:plus>
            <c:minus>
              <c:numRef>
                <c:f>([1]MSR18032!$F$11,[1]MSR18032!$F$23,[1]MSR18032!$F$35,[1]MSR18032!$F$47)</c:f>
                <c:numCache>
                  <c:formatCode>General</c:formatCode>
                  <c:ptCount val="4"/>
                  <c:pt idx="0">
                    <c:v>5.2315527941923833E-3</c:v>
                  </c:pt>
                  <c:pt idx="1">
                    <c:v>1.6400051603060496E-2</c:v>
                  </c:pt>
                  <c:pt idx="2">
                    <c:v>1.1510351837760575E-2</c:v>
                  </c:pt>
                  <c:pt idx="3">
                    <c:v>1.986198465731575E-2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[1]MSR18032!$O$4:$O$7</c:f>
              <c:numCache>
                <c:formatCode>0%</c:formatCode>
                <c:ptCount val="4"/>
                <c:pt idx="0">
                  <c:v>0.92383650764974878</c:v>
                </c:pt>
                <c:pt idx="1">
                  <c:v>0.88127208209750241</c:v>
                </c:pt>
                <c:pt idx="2">
                  <c:v>3.3206201429092995E-2</c:v>
                </c:pt>
                <c:pt idx="3">
                  <c:v>2.817525687863448E-2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8-D247-B34C-2D4FFBFB4F06}"/>
            </c:ext>
          </c:extLst>
        </c:ser>
        <c:ser>
          <c:idx val="1"/>
          <c:order val="1"/>
          <c:tx>
            <c:strRef>
              <c:f>[1]MSR18032!$P$3</c:f>
              <c:strCache>
                <c:ptCount val="1"/>
                <c:pt idx="0">
                  <c:v>Mixed SG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([1]MSR18032!$G$11,[1]MSR18032!$G$23,[1]MSR18032!$G$35,[1]MSR18032!$G$47)</c:f>
                <c:numCache>
                  <c:formatCode>General</c:formatCode>
                  <c:ptCount val="4"/>
                  <c:pt idx="0">
                    <c:v>5.3621510466986769E-3</c:v>
                  </c:pt>
                  <c:pt idx="1">
                    <c:v>1.1074003546508645E-2</c:v>
                  </c:pt>
                  <c:pt idx="2">
                    <c:v>3.4823260093205799E-2</c:v>
                  </c:pt>
                  <c:pt idx="3">
                    <c:v>1.8190524145357E-2</c:v>
                  </c:pt>
                </c:numCache>
              </c:numRef>
            </c:plus>
            <c:minus>
              <c:numRef>
                <c:f>([1]MSR18032!$G$11,[1]MSR18032!$G$23,[1]MSR18032!$G$35,[1]MSR18032!$G$47)</c:f>
                <c:numCache>
                  <c:formatCode>General</c:formatCode>
                  <c:ptCount val="4"/>
                  <c:pt idx="0">
                    <c:v>5.3621510466986769E-3</c:v>
                  </c:pt>
                  <c:pt idx="1">
                    <c:v>1.1074003546508645E-2</c:v>
                  </c:pt>
                  <c:pt idx="2">
                    <c:v>3.4823260093205799E-2</c:v>
                  </c:pt>
                  <c:pt idx="3">
                    <c:v>1.8190524145357E-2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[1]MSR18032!$P$4:$P$7</c:f>
              <c:numCache>
                <c:formatCode>0%</c:formatCode>
                <c:ptCount val="4"/>
                <c:pt idx="0">
                  <c:v>6.0421642962286207E-2</c:v>
                </c:pt>
                <c:pt idx="1">
                  <c:v>8.1206666860680149E-2</c:v>
                </c:pt>
                <c:pt idx="2">
                  <c:v>0.46812411985604757</c:v>
                </c:pt>
                <c:pt idx="3">
                  <c:v>0.37655157557589936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8-D247-B34C-2D4FFBFB4F06}"/>
            </c:ext>
          </c:extLst>
        </c:ser>
        <c:ser>
          <c:idx val="2"/>
          <c:order val="2"/>
          <c:tx>
            <c:strRef>
              <c:f>[1]MSR18032!$Q$3</c:f>
              <c:strCache>
                <c:ptCount val="1"/>
                <c:pt idx="0">
                  <c:v>No sebocyte SG</c:v>
                </c:pt>
              </c:strCache>
            </c:strRef>
          </c:tx>
          <c:spPr>
            <a:solidFill>
              <a:srgbClr val="00919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([1]MSR18032!$H$11,[1]MSR18032!$H$23,[1]MSR18032!$H$35,[1]MSR18032!$H$47)</c:f>
                <c:numCache>
                  <c:formatCode>General</c:formatCode>
                  <c:ptCount val="4"/>
                  <c:pt idx="0">
                    <c:v>2.9408402408570254E-3</c:v>
                  </c:pt>
                  <c:pt idx="1">
                    <c:v>8.0075345709629282E-3</c:v>
                  </c:pt>
                  <c:pt idx="2">
                    <c:v>3.3238339254378968E-2</c:v>
                  </c:pt>
                  <c:pt idx="3">
                    <c:v>3.5316909034320415E-2</c:v>
                  </c:pt>
                </c:numCache>
              </c:numRef>
            </c:plus>
            <c:minus>
              <c:numRef>
                <c:f>([1]MSR18032!$H$11,[1]MSR18032!$H$23,[1]MSR18032!$H$35,[1]MSR18032!$H$47)</c:f>
                <c:numCache>
                  <c:formatCode>General</c:formatCode>
                  <c:ptCount val="4"/>
                  <c:pt idx="0">
                    <c:v>2.9408402408570254E-3</c:v>
                  </c:pt>
                  <c:pt idx="1">
                    <c:v>8.0075345709629282E-3</c:v>
                  </c:pt>
                  <c:pt idx="2">
                    <c:v>3.3238339254378968E-2</c:v>
                  </c:pt>
                  <c:pt idx="3">
                    <c:v>3.5316909034320415E-2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[1]MSR18032!$Q$4:$Q$7</c:f>
              <c:numCache>
                <c:formatCode>0%</c:formatCode>
                <c:ptCount val="4"/>
                <c:pt idx="0">
                  <c:v>1.5741849387965138E-2</c:v>
                </c:pt>
                <c:pt idx="1">
                  <c:v>3.7521251041817569E-2</c:v>
                </c:pt>
                <c:pt idx="2">
                  <c:v>0.49866967871485945</c:v>
                </c:pt>
                <c:pt idx="3">
                  <c:v>0.59527316754546622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28-D247-B34C-2D4FFBFB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20</xdr:col>
      <xdr:colOff>463550</xdr:colOff>
      <xdr:row>30</xdr:row>
      <xdr:rowOff>164395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BB3496-43F8-7E41-85C8-6B9F44AC4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8</xdr:row>
      <xdr:rowOff>50800</xdr:rowOff>
    </xdr:from>
    <xdr:to>
      <xdr:col>19</xdr:col>
      <xdr:colOff>139701</xdr:colOff>
      <xdr:row>24</xdr:row>
      <xdr:rowOff>192104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1F52F5-35E9-894E-A966-677119007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9</xdr:row>
      <xdr:rowOff>0</xdr:rowOff>
    </xdr:from>
    <xdr:to>
      <xdr:col>40</xdr:col>
      <xdr:colOff>565150</xdr:colOff>
      <xdr:row>26</xdr:row>
      <xdr:rowOff>164395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01273D-B633-A549-8D55-D03907225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idis1/Documents/Lab%20stuff/Projects/Sebocyte%20project/Data/SG%20quantificaiton.xlsx" TargetMode="External"/><Relationship Id="rId1" Type="http://schemas.openxmlformats.org/officeDocument/2006/relationships/externalLinkPath" Target="/Users/abidis1/Documents/Lab%20stuff/Projects/Sebocyte%20project/Data/SG%20quantificait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R17412"/>
      <sheetName val="MSR18032"/>
      <sheetName val="MSR18057"/>
      <sheetName val="MSR20289"/>
      <sheetName val="MSR23403"/>
      <sheetName val="N1ICD,FASN 3d"/>
      <sheetName val="FASN, Adipo"/>
      <sheetName val="Ki67, FASN 7d"/>
      <sheetName val="Lrig1, AR"/>
      <sheetName val="N1ICD,FASN 7d"/>
      <sheetName val="AR, FASN 14d"/>
    </sheetNames>
    <sheetDataSet>
      <sheetData sheetId="0">
        <row r="3">
          <cell r="O3" t="str">
            <v>Proper SG</v>
          </cell>
          <cell r="P3" t="str">
            <v>Mixed SG</v>
          </cell>
          <cell r="Q3" t="str">
            <v>No sebocyte SG</v>
          </cell>
        </row>
        <row r="4">
          <cell r="N4" t="str">
            <v>aRW</v>
          </cell>
          <cell r="O4">
            <v>0.89561113874845266</v>
          </cell>
          <cell r="P4">
            <v>6.5043432403561752E-2</v>
          </cell>
          <cell r="Q4">
            <v>3.9345428847985628E-2</v>
          </cell>
        </row>
        <row r="5">
          <cell r="N5" t="str">
            <v>aJAG1</v>
          </cell>
          <cell r="O5">
            <v>0.9037928478417816</v>
          </cell>
          <cell r="P5">
            <v>6.7958994273953341E-2</v>
          </cell>
          <cell r="Q5">
            <v>2.8248157884265029E-2</v>
          </cell>
        </row>
        <row r="6">
          <cell r="N6" t="str">
            <v>aJAG2</v>
          </cell>
          <cell r="O6">
            <v>0.83785784796262308</v>
          </cell>
          <cell r="P6">
            <v>0.10644239599025369</v>
          </cell>
          <cell r="Q6">
            <v>5.5699756047123274E-2</v>
          </cell>
        </row>
        <row r="11">
          <cell r="F11">
            <v>1.9682910870523533E-2</v>
          </cell>
          <cell r="G11">
            <v>1.2517986575533531E-2</v>
          </cell>
          <cell r="H11">
            <v>8.0525008587275376E-3</v>
          </cell>
        </row>
        <row r="23">
          <cell r="F23">
            <v>4.9925494958882851E-3</v>
          </cell>
          <cell r="G23">
            <v>2.7220548710880275E-3</v>
          </cell>
          <cell r="H23">
            <v>4.2065787730409159E-3</v>
          </cell>
        </row>
        <row r="35">
          <cell r="F35">
            <v>1.1873443434061135E-2</v>
          </cell>
          <cell r="G35">
            <v>6.1979065125126794E-3</v>
          </cell>
          <cell r="H35">
            <v>8.2029138870795132E-3</v>
          </cell>
        </row>
      </sheetData>
      <sheetData sheetId="1">
        <row r="3">
          <cell r="O3" t="str">
            <v>Proper SG</v>
          </cell>
          <cell r="P3" t="str">
            <v>Mixed SG</v>
          </cell>
          <cell r="Q3" t="str">
            <v>No sebocyte SG</v>
          </cell>
        </row>
        <row r="4">
          <cell r="N4" t="str">
            <v>aRW</v>
          </cell>
          <cell r="O4">
            <v>0.92383650764974878</v>
          </cell>
          <cell r="P4">
            <v>6.0421642962286207E-2</v>
          </cell>
          <cell r="Q4">
            <v>1.5741849387965138E-2</v>
          </cell>
        </row>
        <row r="5">
          <cell r="N5" t="str">
            <v>aJAG1</v>
          </cell>
          <cell r="O5">
            <v>0.88127208209750241</v>
          </cell>
          <cell r="P5">
            <v>8.1206666860680149E-2</v>
          </cell>
          <cell r="Q5">
            <v>3.7521251041817569E-2</v>
          </cell>
        </row>
        <row r="6">
          <cell r="N6" t="str">
            <v>aJAG2</v>
          </cell>
          <cell r="O6">
            <v>3.3206201429092995E-2</v>
          </cell>
          <cell r="P6">
            <v>0.46812411985604757</v>
          </cell>
          <cell r="Q6">
            <v>0.49866967871485945</v>
          </cell>
        </row>
        <row r="7">
          <cell r="N7" t="str">
            <v>aJ1J2</v>
          </cell>
          <cell r="O7">
            <v>2.817525687863448E-2</v>
          </cell>
          <cell r="P7">
            <v>0.37655157557589936</v>
          </cell>
          <cell r="Q7">
            <v>0.59527316754546622</v>
          </cell>
        </row>
        <row r="11">
          <cell r="F11">
            <v>5.2315527941923833E-3</v>
          </cell>
          <cell r="G11">
            <v>5.3621510466986769E-3</v>
          </cell>
          <cell r="H11">
            <v>2.9408402408570254E-3</v>
          </cell>
        </row>
        <row r="23">
          <cell r="F23">
            <v>1.6400051603060496E-2</v>
          </cell>
          <cell r="G23">
            <v>1.1074003546508645E-2</v>
          </cell>
          <cell r="H23">
            <v>8.0075345709629282E-3</v>
          </cell>
        </row>
        <row r="35">
          <cell r="F35">
            <v>1.1510351837760575E-2</v>
          </cell>
          <cell r="G35">
            <v>3.4823260093205799E-2</v>
          </cell>
          <cell r="H35">
            <v>3.3238339254378968E-2</v>
          </cell>
        </row>
        <row r="47">
          <cell r="F47">
            <v>1.986198465731575E-2</v>
          </cell>
          <cell r="G47">
            <v>1.8190524145357E-2</v>
          </cell>
          <cell r="H47">
            <v>3.5316909034320415E-2</v>
          </cell>
        </row>
      </sheetData>
      <sheetData sheetId="2"/>
      <sheetData sheetId="3">
        <row r="3">
          <cell r="O3" t="str">
            <v>Proper SG</v>
          </cell>
          <cell r="P3" t="str">
            <v>Mixed SG</v>
          </cell>
          <cell r="Q3" t="str">
            <v>No sebocyte SG</v>
          </cell>
        </row>
        <row r="4">
          <cell r="N4" t="str">
            <v>aRW</v>
          </cell>
          <cell r="O4">
            <v>0.92526557565317247</v>
          </cell>
          <cell r="P4">
            <v>5.1527008736311067E-2</v>
          </cell>
          <cell r="Q4">
            <v>2.3207415610516386E-2</v>
          </cell>
        </row>
        <row r="5">
          <cell r="N5" t="str">
            <v>aN1</v>
          </cell>
          <cell r="O5">
            <v>3.4283371563203838E-2</v>
          </cell>
          <cell r="P5">
            <v>0.51659253811578221</v>
          </cell>
          <cell r="Q5">
            <v>0.44912409032101391</v>
          </cell>
        </row>
        <row r="6">
          <cell r="N6" t="str">
            <v>aN2</v>
          </cell>
          <cell r="O6">
            <v>0.89844425038454889</v>
          </cell>
          <cell r="P6">
            <v>6.9327582461910828E-2</v>
          </cell>
          <cell r="Q6">
            <v>3.2228167153540287E-2</v>
          </cell>
        </row>
        <row r="7">
          <cell r="N7" t="str">
            <v>aN1N2</v>
          </cell>
          <cell r="O7">
            <v>9.433962264150943E-3</v>
          </cell>
          <cell r="P7">
            <v>0.22528451375008002</v>
          </cell>
          <cell r="Q7">
            <v>0.7652815239857691</v>
          </cell>
        </row>
        <row r="11">
          <cell r="F11">
            <v>1.2063128043644436E-2</v>
          </cell>
          <cell r="G11">
            <v>6.496403607996408E-3</v>
          </cell>
          <cell r="H11">
            <v>5.9321109412559083E-3</v>
          </cell>
        </row>
        <row r="23">
          <cell r="F23">
            <v>1.4119093460502902E-2</v>
          </cell>
          <cell r="G23">
            <v>4.4816346523863987E-2</v>
          </cell>
          <cell r="H23">
            <v>5.5435602043669263E-2</v>
          </cell>
        </row>
        <row r="35">
          <cell r="F35">
            <v>8.577871609896235E-3</v>
          </cell>
          <cell r="G35">
            <v>9.4902244345702828E-3</v>
          </cell>
          <cell r="H35">
            <v>8.8180477831121158E-3</v>
          </cell>
        </row>
        <row r="57">
          <cell r="F57">
            <v>9.433962264150943E-3</v>
          </cell>
          <cell r="G57">
            <v>6.8158036145342882E-2</v>
          </cell>
          <cell r="H57">
            <v>7.6995389634417724E-2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0689-972B-4345-8DAD-24EE6D891BED}">
  <dimension ref="A1:Q65"/>
  <sheetViews>
    <sheetView workbookViewId="0"/>
  </sheetViews>
  <sheetFormatPr baseColWidth="10" defaultRowHeight="16" x14ac:dyDescent="0.2"/>
  <sheetData>
    <row r="1" spans="1:17" x14ac:dyDescent="0.2">
      <c r="A1" s="1" t="s">
        <v>0</v>
      </c>
    </row>
    <row r="3" spans="1:1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2</v>
      </c>
      <c r="K3" s="1" t="s">
        <v>10</v>
      </c>
      <c r="L3" s="1" t="s">
        <v>11</v>
      </c>
      <c r="O3" s="1" t="s">
        <v>2</v>
      </c>
      <c r="P3" s="1" t="s">
        <v>10</v>
      </c>
      <c r="Q3" s="1" t="s">
        <v>11</v>
      </c>
    </row>
    <row r="4" spans="1:17" x14ac:dyDescent="0.2">
      <c r="A4" s="2" t="s">
        <v>12</v>
      </c>
      <c r="B4">
        <f>SUM(12,8,25,6,11,4,14)</f>
        <v>80</v>
      </c>
      <c r="C4">
        <f>SUM(2,3,1)</f>
        <v>6</v>
      </c>
      <c r="D4">
        <f>SUM(2,1,1)</f>
        <v>4</v>
      </c>
      <c r="E4">
        <f>SUM(B4,C4,D4)</f>
        <v>90</v>
      </c>
      <c r="F4" s="3">
        <f>B4/E4</f>
        <v>0.88888888888888884</v>
      </c>
      <c r="G4" s="3">
        <f>C4/E4</f>
        <v>6.6666666666666666E-2</v>
      </c>
      <c r="H4" s="3">
        <f>D4/E4</f>
        <v>4.4444444444444446E-2</v>
      </c>
      <c r="I4" s="4">
        <f>SUM(F4:H4)</f>
        <v>0.99999999999999989</v>
      </c>
      <c r="J4" s="5">
        <f>F9</f>
        <v>0.92526557565317247</v>
      </c>
      <c r="K4" s="5">
        <f>G9</f>
        <v>5.1527008736311067E-2</v>
      </c>
      <c r="L4" s="5">
        <f>H9</f>
        <v>2.3207415610516386E-2</v>
      </c>
      <c r="N4" s="1" t="s">
        <v>1</v>
      </c>
      <c r="O4" s="4">
        <f>J4</f>
        <v>0.92526557565317247</v>
      </c>
      <c r="P4" s="4">
        <f>K4</f>
        <v>5.1527008736311067E-2</v>
      </c>
      <c r="Q4" s="4">
        <f>L4</f>
        <v>2.3207415610516386E-2</v>
      </c>
    </row>
    <row r="5" spans="1:17" x14ac:dyDescent="0.2">
      <c r="A5" s="2" t="s">
        <v>13</v>
      </c>
      <c r="B5">
        <f>SUM(15,19,42,6)</f>
        <v>82</v>
      </c>
      <c r="C5">
        <f>SUM(3)</f>
        <v>3</v>
      </c>
      <c r="D5">
        <f>SUM(1)</f>
        <v>1</v>
      </c>
      <c r="E5">
        <f>SUM(B5,C5,D5)</f>
        <v>86</v>
      </c>
      <c r="F5" s="3">
        <f>B5/E5</f>
        <v>0.95348837209302328</v>
      </c>
      <c r="G5" s="3">
        <f>C5/E5</f>
        <v>3.4883720930232558E-2</v>
      </c>
      <c r="H5" s="3">
        <f>D5/E5</f>
        <v>1.1627906976744186E-2</v>
      </c>
      <c r="I5" s="4">
        <f>SUM(F5:H5)</f>
        <v>1</v>
      </c>
      <c r="N5" s="1" t="s">
        <v>20</v>
      </c>
      <c r="O5" s="4">
        <f>J16</f>
        <v>3.4283371563203838E-2</v>
      </c>
      <c r="P5" s="4">
        <f>K16</f>
        <v>0.51659253811578221</v>
      </c>
      <c r="Q5" s="4">
        <f>L16</f>
        <v>0.44912409032101391</v>
      </c>
    </row>
    <row r="6" spans="1:17" x14ac:dyDescent="0.2">
      <c r="A6" s="2" t="s">
        <v>14</v>
      </c>
      <c r="B6">
        <f>SUM(15,18,10,13,21)</f>
        <v>77</v>
      </c>
      <c r="C6">
        <f>SUM(3,2)</f>
        <v>5</v>
      </c>
      <c r="D6">
        <f>SUM(2)</f>
        <v>2</v>
      </c>
      <c r="E6">
        <f>SUM(B6,C6,D6)</f>
        <v>84</v>
      </c>
      <c r="F6" s="3">
        <f>B6/E6</f>
        <v>0.91666666666666663</v>
      </c>
      <c r="G6" s="3">
        <f>C6/E6</f>
        <v>5.9523809523809521E-2</v>
      </c>
      <c r="H6" s="3">
        <f>D6/E6</f>
        <v>2.3809523809523808E-2</v>
      </c>
      <c r="I6" s="4">
        <f>SUM(F6:H6)</f>
        <v>1</v>
      </c>
      <c r="N6" s="1" t="s">
        <v>26</v>
      </c>
      <c r="O6" s="4">
        <f>J28</f>
        <v>0.89844425038454889</v>
      </c>
      <c r="P6" s="4">
        <f>K28</f>
        <v>6.9327582461910828E-2</v>
      </c>
      <c r="Q6" s="4">
        <f>L28</f>
        <v>3.2228167153540287E-2</v>
      </c>
    </row>
    <row r="7" spans="1:17" x14ac:dyDescent="0.2">
      <c r="A7" s="2" t="s">
        <v>15</v>
      </c>
      <c r="B7">
        <f>SUM(23,8,46)</f>
        <v>77</v>
      </c>
      <c r="C7">
        <f>SUM(3)</f>
        <v>3</v>
      </c>
      <c r="D7">
        <f>SUM(1)</f>
        <v>1</v>
      </c>
      <c r="E7">
        <f>SUM(B7,C7,D7)</f>
        <v>81</v>
      </c>
      <c r="F7" s="3">
        <f>B7/E7</f>
        <v>0.95061728395061729</v>
      </c>
      <c r="G7" s="3">
        <f>C7/E7</f>
        <v>3.7037037037037035E-2</v>
      </c>
      <c r="H7" s="3">
        <f>D7/E7</f>
        <v>1.2345679012345678E-2</v>
      </c>
      <c r="I7" s="4">
        <f>SUM(F7:H7)</f>
        <v>1</v>
      </c>
      <c r="N7" s="1" t="s">
        <v>32</v>
      </c>
      <c r="O7" s="4">
        <f>J40</f>
        <v>9.433962264150943E-3</v>
      </c>
      <c r="P7" s="4">
        <f>K40</f>
        <v>0.22528451375008002</v>
      </c>
      <c r="Q7" s="4">
        <f>L40</f>
        <v>0.7652815239857691</v>
      </c>
    </row>
    <row r="8" spans="1:17" x14ac:dyDescent="0.2">
      <c r="A8" s="2" t="s">
        <v>16</v>
      </c>
      <c r="B8">
        <f>SUM(26,14,9,19,5,4)</f>
        <v>77</v>
      </c>
      <c r="C8">
        <f>SUM(1,2,2)</f>
        <v>5</v>
      </c>
      <c r="D8">
        <f>SUM(1,1)</f>
        <v>2</v>
      </c>
      <c r="E8">
        <f>SUM(B8,C8,D8)</f>
        <v>84</v>
      </c>
      <c r="F8" s="3">
        <f>B8/E8</f>
        <v>0.91666666666666663</v>
      </c>
      <c r="G8" s="3">
        <f>C8/E8</f>
        <v>5.9523809523809521E-2</v>
      </c>
      <c r="H8" s="3">
        <f>D8/E8</f>
        <v>2.3809523809523808E-2</v>
      </c>
      <c r="I8" s="4">
        <f>SUM(F8:H8)</f>
        <v>1</v>
      </c>
    </row>
    <row r="9" spans="1:17" x14ac:dyDescent="0.2">
      <c r="A9" s="6" t="s">
        <v>17</v>
      </c>
      <c r="B9">
        <f>SUM(B4:B8)</f>
        <v>393</v>
      </c>
      <c r="C9">
        <f>SUM(C4:C8)</f>
        <v>22</v>
      </c>
      <c r="D9">
        <f>SUM(D4:D8)</f>
        <v>10</v>
      </c>
      <c r="E9">
        <f>SUM(E4:E8)</f>
        <v>425</v>
      </c>
      <c r="F9" s="5">
        <f>AVERAGE(F4:F8)</f>
        <v>0.92526557565317247</v>
      </c>
      <c r="G9" s="5">
        <f>AVERAGE(G4:G8)</f>
        <v>5.1527008736311067E-2</v>
      </c>
      <c r="H9" s="5">
        <f>AVERAGE(H4:H8)</f>
        <v>2.3207415610516386E-2</v>
      </c>
    </row>
    <row r="10" spans="1:17" x14ac:dyDescent="0.2">
      <c r="A10" s="7" t="s">
        <v>18</v>
      </c>
      <c r="F10" s="8">
        <f>STDEV(F4:F8)</f>
        <v>2.6973974326873013E-2</v>
      </c>
      <c r="G10" s="8">
        <f>STDEV(G4:G8)</f>
        <v>1.4526400076754865E-2</v>
      </c>
      <c r="H10" s="8">
        <f>STDEV(H4:H8)</f>
        <v>1.3264603314718473E-2</v>
      </c>
    </row>
    <row r="11" spans="1:17" x14ac:dyDescent="0.2">
      <c r="A11" s="7" t="s">
        <v>19</v>
      </c>
      <c r="F11" s="8">
        <f>F10/SQRT(5)</f>
        <v>1.2063128043644436E-2</v>
      </c>
      <c r="G11" s="8">
        <f>G10/SQRT(5)</f>
        <v>6.496403607996408E-3</v>
      </c>
      <c r="H11" s="8">
        <f>H10/SQRT(5)</f>
        <v>5.9321109412559083E-3</v>
      </c>
    </row>
    <row r="15" spans="1:17" x14ac:dyDescent="0.2">
      <c r="A15" s="1" t="s">
        <v>20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2</v>
      </c>
      <c r="K15" s="1" t="s">
        <v>10</v>
      </c>
      <c r="L15" s="1" t="s">
        <v>11</v>
      </c>
    </row>
    <row r="16" spans="1:17" x14ac:dyDescent="0.2">
      <c r="A16" s="2" t="s">
        <v>21</v>
      </c>
      <c r="B16">
        <f>SUM(3,1)</f>
        <v>4</v>
      </c>
      <c r="C16">
        <f>SUM(22,9,4)</f>
        <v>35</v>
      </c>
      <c r="D16">
        <f>SUM(12,2,6)</f>
        <v>20</v>
      </c>
      <c r="E16">
        <f>SUM(B16,C16,D16)</f>
        <v>59</v>
      </c>
      <c r="F16" s="3">
        <f>B16/E16</f>
        <v>6.7796610169491525E-2</v>
      </c>
      <c r="G16" s="3">
        <f>C16/E16</f>
        <v>0.59322033898305082</v>
      </c>
      <c r="H16" s="3">
        <f>D16/E16</f>
        <v>0.33898305084745761</v>
      </c>
      <c r="I16" s="4">
        <f>SUM(F16:H16)</f>
        <v>1</v>
      </c>
      <c r="J16" s="5">
        <f>F21</f>
        <v>3.4283371563203838E-2</v>
      </c>
      <c r="K16" s="5">
        <f>G21</f>
        <v>0.51659253811578221</v>
      </c>
      <c r="L16" s="5">
        <f>H21</f>
        <v>0.44912409032101391</v>
      </c>
    </row>
    <row r="17" spans="1:12" x14ac:dyDescent="0.2">
      <c r="A17" s="2" t="s">
        <v>22</v>
      </c>
      <c r="B17">
        <f>SUM(2,2)</f>
        <v>4</v>
      </c>
      <c r="C17">
        <f>SUM(9,6,2,7,10)</f>
        <v>34</v>
      </c>
      <c r="D17">
        <f>SUM(9,4,8)</f>
        <v>21</v>
      </c>
      <c r="E17">
        <f>SUM(B17,C17,D17)</f>
        <v>59</v>
      </c>
      <c r="F17" s="3">
        <f>B17/E17</f>
        <v>6.7796610169491525E-2</v>
      </c>
      <c r="G17" s="3">
        <f>C17/E17</f>
        <v>0.57627118644067798</v>
      </c>
      <c r="H17" s="3">
        <f>D17/E17</f>
        <v>0.3559322033898305</v>
      </c>
      <c r="I17" s="4">
        <f>SUM(F17:H17)</f>
        <v>1</v>
      </c>
    </row>
    <row r="18" spans="1:12" x14ac:dyDescent="0.2">
      <c r="A18" s="2" t="s">
        <v>23</v>
      </c>
      <c r="B18">
        <f>SUM(0)</f>
        <v>0</v>
      </c>
      <c r="C18">
        <f>SUM(14,11,4)</f>
        <v>29</v>
      </c>
      <c r="D18">
        <f>SUM(18,11,5)</f>
        <v>34</v>
      </c>
      <c r="E18">
        <f>SUM(B18,C18,D18)</f>
        <v>63</v>
      </c>
      <c r="F18" s="3">
        <f>B18/E18</f>
        <v>0</v>
      </c>
      <c r="G18" s="3">
        <f>C18/E18</f>
        <v>0.46031746031746029</v>
      </c>
      <c r="H18" s="3">
        <f>D18/E18</f>
        <v>0.53968253968253965</v>
      </c>
      <c r="I18" s="4">
        <f>SUM(F18:H18)</f>
        <v>1</v>
      </c>
    </row>
    <row r="19" spans="1:12" x14ac:dyDescent="0.2">
      <c r="A19" s="2" t="s">
        <v>24</v>
      </c>
      <c r="B19">
        <f>SUM(1)</f>
        <v>1</v>
      </c>
      <c r="C19">
        <f>SUM(10,7,9)</f>
        <v>26</v>
      </c>
      <c r="D19">
        <f>SUM(17,8,6,13)</f>
        <v>44</v>
      </c>
      <c r="E19">
        <f>SUM(B19,C19,D19)</f>
        <v>71</v>
      </c>
      <c r="F19" s="3">
        <f>B19/E19</f>
        <v>1.4084507042253521E-2</v>
      </c>
      <c r="G19" s="3">
        <f>C19/E19</f>
        <v>0.36619718309859156</v>
      </c>
      <c r="H19" s="3">
        <f>D19/E19</f>
        <v>0.61971830985915488</v>
      </c>
      <c r="I19" s="4">
        <f>SUM(F19:H19)</f>
        <v>1</v>
      </c>
    </row>
    <row r="20" spans="1:12" x14ac:dyDescent="0.2">
      <c r="A20" s="2" t="s">
        <v>25</v>
      </c>
      <c r="B20">
        <f>SUM(1)</f>
        <v>1</v>
      </c>
      <c r="C20">
        <f>SUM(7,6,14)</f>
        <v>27</v>
      </c>
      <c r="D20">
        <f>SUM(4,7,7)</f>
        <v>18</v>
      </c>
      <c r="E20">
        <f>SUM(B20,C20,D20)</f>
        <v>46</v>
      </c>
      <c r="F20" s="3">
        <f>B20/E20</f>
        <v>2.1739130434782608E-2</v>
      </c>
      <c r="G20" s="3">
        <f>C20/E20</f>
        <v>0.58695652173913049</v>
      </c>
      <c r="H20" s="3">
        <f>D20/E20</f>
        <v>0.39130434782608697</v>
      </c>
      <c r="I20" s="4">
        <f>SUM(F20:H20)</f>
        <v>1</v>
      </c>
    </row>
    <row r="21" spans="1:12" x14ac:dyDescent="0.2">
      <c r="A21" s="6" t="s">
        <v>17</v>
      </c>
      <c r="B21">
        <f>SUM(B16:B20)</f>
        <v>10</v>
      </c>
      <c r="C21">
        <f>SUM(C16:C20)</f>
        <v>151</v>
      </c>
      <c r="D21">
        <f>SUM(D16:D20)</f>
        <v>137</v>
      </c>
      <c r="E21">
        <f>SUM(E16:E20)</f>
        <v>298</v>
      </c>
      <c r="F21" s="5">
        <f>AVERAGE(F16:F20)</f>
        <v>3.4283371563203838E-2</v>
      </c>
      <c r="G21" s="5">
        <f>AVERAGE(G16:G20)</f>
        <v>0.51659253811578221</v>
      </c>
      <c r="H21" s="5">
        <f>AVERAGE(H16:H20)</f>
        <v>0.44912409032101391</v>
      </c>
    </row>
    <row r="22" spans="1:12" x14ac:dyDescent="0.2">
      <c r="A22" s="7" t="s">
        <v>18</v>
      </c>
      <c r="F22" s="8">
        <f>STDEV(F16:F20)</f>
        <v>3.1571252758357232E-2</v>
      </c>
      <c r="G22" s="8">
        <f>STDEV(G16:G20)</f>
        <v>0.10021239733054628</v>
      </c>
      <c r="H22" s="8">
        <f>STDEV(H16:H20)</f>
        <v>0.12395777454327074</v>
      </c>
    </row>
    <row r="23" spans="1:12" x14ac:dyDescent="0.2">
      <c r="A23" s="7" t="s">
        <v>19</v>
      </c>
      <c r="F23" s="8">
        <f>F22/SQRT(5)</f>
        <v>1.4119093460502902E-2</v>
      </c>
      <c r="G23" s="8">
        <f>G22/SQRT(5)</f>
        <v>4.4816346523863987E-2</v>
      </c>
      <c r="H23" s="8">
        <f>H22/SQRT(5)</f>
        <v>5.5435602043669263E-2</v>
      </c>
    </row>
    <row r="27" spans="1:12" x14ac:dyDescent="0.2">
      <c r="A27" s="1" t="s">
        <v>26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2</v>
      </c>
      <c r="K27" s="1" t="s">
        <v>10</v>
      </c>
      <c r="L27" s="1" t="s">
        <v>11</v>
      </c>
    </row>
    <row r="28" spans="1:12" x14ac:dyDescent="0.2">
      <c r="A28" s="2" t="s">
        <v>27</v>
      </c>
      <c r="B28">
        <f>SUM(25,6,7,11,13)</f>
        <v>62</v>
      </c>
      <c r="C28">
        <f>SUM(3,2,2)</f>
        <v>7</v>
      </c>
      <c r="D28">
        <f>SUM(1)</f>
        <v>1</v>
      </c>
      <c r="E28">
        <f>SUM(B28,C28,D28)</f>
        <v>70</v>
      </c>
      <c r="F28" s="3">
        <f>B28/E28</f>
        <v>0.88571428571428568</v>
      </c>
      <c r="G28" s="3">
        <f>C28/E28</f>
        <v>0.1</v>
      </c>
      <c r="H28" s="3">
        <f>D28/E28</f>
        <v>1.4285714285714285E-2</v>
      </c>
      <c r="I28" s="4">
        <f>SUM(F28:H28)</f>
        <v>0.99999999999999989</v>
      </c>
      <c r="J28" s="5">
        <f>F33</f>
        <v>0.89844425038454889</v>
      </c>
      <c r="K28" s="5">
        <f>G33</f>
        <v>6.9327582461910828E-2</v>
      </c>
      <c r="L28" s="5">
        <f>H33</f>
        <v>3.2228167153540287E-2</v>
      </c>
    </row>
    <row r="29" spans="1:12" x14ac:dyDescent="0.2">
      <c r="A29" s="2" t="s">
        <v>28</v>
      </c>
      <c r="B29">
        <f>SUM(19,33,10)</f>
        <v>62</v>
      </c>
      <c r="C29">
        <f>SUM(3,1)</f>
        <v>4</v>
      </c>
      <c r="D29">
        <f>SUM(1)</f>
        <v>1</v>
      </c>
      <c r="E29">
        <f>SUM(B29,C29,D29)</f>
        <v>67</v>
      </c>
      <c r="F29" s="3">
        <f>B29/E29</f>
        <v>0.92537313432835822</v>
      </c>
      <c r="G29" s="3">
        <f>C29/E29</f>
        <v>5.9701492537313432E-2</v>
      </c>
      <c r="H29" s="3">
        <f>D29/E29</f>
        <v>1.4925373134328358E-2</v>
      </c>
      <c r="I29" s="4">
        <f>SUM(F29:H29)</f>
        <v>1</v>
      </c>
    </row>
    <row r="30" spans="1:12" x14ac:dyDescent="0.2">
      <c r="A30" s="2" t="s">
        <v>29</v>
      </c>
      <c r="B30">
        <f>SUM(15,16,4,8,7,11)</f>
        <v>61</v>
      </c>
      <c r="C30">
        <f>SUM(1,1,1,1)</f>
        <v>4</v>
      </c>
      <c r="D30">
        <f>SUM(1,1)</f>
        <v>2</v>
      </c>
      <c r="E30">
        <f>SUM(B30,C30,D30)</f>
        <v>67</v>
      </c>
      <c r="F30" s="3">
        <f>B30/E30</f>
        <v>0.91044776119402981</v>
      </c>
      <c r="G30" s="3">
        <f>C30/E30</f>
        <v>5.9701492537313432E-2</v>
      </c>
      <c r="H30" s="3">
        <f>D30/E30</f>
        <v>2.9850746268656716E-2</v>
      </c>
      <c r="I30" s="4">
        <f>SUM(F30:H30)</f>
        <v>0.99999999999999989</v>
      </c>
    </row>
    <row r="31" spans="1:12" x14ac:dyDescent="0.2">
      <c r="A31" s="2" t="s">
        <v>30</v>
      </c>
      <c r="B31">
        <f>SUM(22,13,10,20)</f>
        <v>65</v>
      </c>
      <c r="C31">
        <f>SUM(2,3,1)</f>
        <v>6</v>
      </c>
      <c r="D31">
        <f>SUM(3)</f>
        <v>3</v>
      </c>
      <c r="E31">
        <f>SUM(B31,C31,D31)</f>
        <v>74</v>
      </c>
      <c r="F31" s="3">
        <f>B31/E31</f>
        <v>0.8783783783783784</v>
      </c>
      <c r="G31" s="3">
        <f>C31/E31</f>
        <v>8.1081081081081086E-2</v>
      </c>
      <c r="H31" s="3">
        <f>D31/E31</f>
        <v>4.0540540540540543E-2</v>
      </c>
      <c r="I31" s="4">
        <f>SUM(F31:H31)</f>
        <v>1</v>
      </c>
    </row>
    <row r="32" spans="1:12" x14ac:dyDescent="0.2">
      <c r="A32" s="2" t="s">
        <v>31</v>
      </c>
      <c r="B32">
        <f>SUM(35,6,5,12)</f>
        <v>58</v>
      </c>
      <c r="C32">
        <f>SUM(3)</f>
        <v>3</v>
      </c>
      <c r="D32">
        <f>SUM(2,2)</f>
        <v>4</v>
      </c>
      <c r="E32">
        <f>SUM(B32,C32,D32)</f>
        <v>65</v>
      </c>
      <c r="F32" s="3">
        <f>B32/E32</f>
        <v>0.89230769230769236</v>
      </c>
      <c r="G32" s="3">
        <f>C32/E32</f>
        <v>4.6153846153846156E-2</v>
      </c>
      <c r="H32" s="3">
        <f>D32/E32</f>
        <v>6.1538461538461542E-2</v>
      </c>
      <c r="I32" s="4">
        <f>SUM(F32:H32)</f>
        <v>1</v>
      </c>
    </row>
    <row r="33" spans="1:12" x14ac:dyDescent="0.2">
      <c r="A33" s="6" t="s">
        <v>17</v>
      </c>
      <c r="B33">
        <f>SUM(B28:B32)</f>
        <v>308</v>
      </c>
      <c r="C33">
        <f>SUM(C28:C32)</f>
        <v>24</v>
      </c>
      <c r="D33">
        <f>SUM(D28:D32)</f>
        <v>11</v>
      </c>
      <c r="E33">
        <f>SUM(E28:E32)</f>
        <v>343</v>
      </c>
      <c r="F33" s="5">
        <f>AVERAGE(F28:F32)</f>
        <v>0.89844425038454889</v>
      </c>
      <c r="G33" s="5">
        <f>AVERAGE(G28:G32)</f>
        <v>6.9327582461910828E-2</v>
      </c>
      <c r="H33" s="5">
        <f>AVERAGE(H28:H32)</f>
        <v>3.2228167153540287E-2</v>
      </c>
    </row>
    <row r="34" spans="1:12" x14ac:dyDescent="0.2">
      <c r="A34" s="7" t="s">
        <v>18</v>
      </c>
      <c r="F34" s="8">
        <f>STDEV(F28:F32)</f>
        <v>1.9180704021993539E-2</v>
      </c>
      <c r="G34" s="8">
        <f>STDEV(G28:G32)</f>
        <v>2.1220786957428659E-2</v>
      </c>
      <c r="H34" s="8">
        <f>STDEV(H28:H32)</f>
        <v>1.9717754271880016E-2</v>
      </c>
    </row>
    <row r="35" spans="1:12" x14ac:dyDescent="0.2">
      <c r="A35" s="7" t="s">
        <v>19</v>
      </c>
      <c r="F35" s="8">
        <f>F34/SQRT(5)</f>
        <v>8.577871609896235E-3</v>
      </c>
      <c r="G35" s="8">
        <f>G34/SQRT(5)</f>
        <v>9.4902244345702828E-3</v>
      </c>
      <c r="H35" s="8">
        <f>H34/SQRT(5)</f>
        <v>8.8180477831121158E-3</v>
      </c>
    </row>
    <row r="39" spans="1:12" x14ac:dyDescent="0.2">
      <c r="A39" s="1" t="s">
        <v>32</v>
      </c>
      <c r="B39" s="1" t="s">
        <v>2</v>
      </c>
      <c r="C39" s="1" t="s">
        <v>3</v>
      </c>
      <c r="D39" s="1" t="s">
        <v>4</v>
      </c>
      <c r="E39" s="1" t="s">
        <v>5</v>
      </c>
      <c r="F39" s="1" t="s">
        <v>6</v>
      </c>
      <c r="G39" s="1" t="s">
        <v>7</v>
      </c>
      <c r="H39" s="1" t="s">
        <v>8</v>
      </c>
      <c r="I39" s="1" t="s">
        <v>9</v>
      </c>
      <c r="J39" s="1" t="s">
        <v>2</v>
      </c>
      <c r="K39" s="1" t="s">
        <v>10</v>
      </c>
      <c r="L39" s="1" t="s">
        <v>11</v>
      </c>
    </row>
    <row r="40" spans="1:12" x14ac:dyDescent="0.2">
      <c r="A40" s="2" t="s">
        <v>33</v>
      </c>
      <c r="B40">
        <f>SUM(0)</f>
        <v>0</v>
      </c>
      <c r="C40">
        <f>SUM(3)</f>
        <v>3</v>
      </c>
      <c r="D40">
        <f>SUM(12,18)</f>
        <v>30</v>
      </c>
      <c r="E40">
        <f>SUM(B40,C40,D40)</f>
        <v>33</v>
      </c>
      <c r="F40" s="3">
        <f>B40/E40</f>
        <v>0</v>
      </c>
      <c r="G40" s="3">
        <f>C40/E40</f>
        <v>9.0909090909090912E-2</v>
      </c>
      <c r="H40" s="3">
        <f>D40/E40</f>
        <v>0.90909090909090906</v>
      </c>
      <c r="I40" s="4">
        <f>SUM(F40:H40)</f>
        <v>1</v>
      </c>
      <c r="J40" s="5">
        <f>F44</f>
        <v>9.433962264150943E-3</v>
      </c>
      <c r="K40" s="5">
        <f>G44</f>
        <v>0.22528451375008002</v>
      </c>
      <c r="L40" s="5">
        <f>H44</f>
        <v>0.7652815239857691</v>
      </c>
    </row>
    <row r="41" spans="1:12" x14ac:dyDescent="0.2">
      <c r="A41" s="2" t="s">
        <v>34</v>
      </c>
      <c r="B41">
        <f>SUM(0)</f>
        <v>0</v>
      </c>
      <c r="C41">
        <f>SUM(4,7)</f>
        <v>11</v>
      </c>
      <c r="D41">
        <f>SUM(13,34)</f>
        <v>47</v>
      </c>
      <c r="E41">
        <f>SUM(B41,C41,D41)</f>
        <v>58</v>
      </c>
      <c r="F41" s="3">
        <f>B41/E41</f>
        <v>0</v>
      </c>
      <c r="G41" s="3">
        <f>C41/E41</f>
        <v>0.18965517241379309</v>
      </c>
      <c r="H41" s="3">
        <f>D41/E41</f>
        <v>0.81034482758620685</v>
      </c>
      <c r="I41" s="4">
        <f>SUM(F41:H41)</f>
        <v>1</v>
      </c>
    </row>
    <row r="42" spans="1:12" x14ac:dyDescent="0.2">
      <c r="A42" s="2" t="s">
        <v>35</v>
      </c>
      <c r="B42">
        <f>SUM(1,1)</f>
        <v>2</v>
      </c>
      <c r="C42">
        <f>SUM(8,11,3)</f>
        <v>22</v>
      </c>
      <c r="D42">
        <f>SUM(15,11,3)</f>
        <v>29</v>
      </c>
      <c r="E42">
        <f>SUM(B42,C42,D42)</f>
        <v>53</v>
      </c>
      <c r="F42" s="3">
        <f>B42/E42</f>
        <v>3.7735849056603772E-2</v>
      </c>
      <c r="G42" s="3">
        <f>C42/E42</f>
        <v>0.41509433962264153</v>
      </c>
      <c r="H42" s="3">
        <f>D42/E42</f>
        <v>0.54716981132075471</v>
      </c>
      <c r="I42" s="4">
        <f>SUM(F42:H42)</f>
        <v>1</v>
      </c>
    </row>
    <row r="43" spans="1:12" x14ac:dyDescent="0.2">
      <c r="A43" s="2" t="s">
        <v>36</v>
      </c>
      <c r="B43">
        <f>SUM(0)</f>
        <v>0</v>
      </c>
      <c r="C43">
        <f>SUM(6,9)</f>
        <v>15</v>
      </c>
      <c r="D43">
        <f>SUM(21,37)</f>
        <v>58</v>
      </c>
      <c r="E43">
        <f>SUM(B43,C43,D43)</f>
        <v>73</v>
      </c>
      <c r="F43" s="3">
        <f>B43/E43</f>
        <v>0</v>
      </c>
      <c r="G43" s="3">
        <f>C43/E43</f>
        <v>0.20547945205479451</v>
      </c>
      <c r="H43" s="3">
        <f>D43/E43</f>
        <v>0.79452054794520544</v>
      </c>
      <c r="I43" s="4">
        <f>SUM(F43:H43)</f>
        <v>1</v>
      </c>
    </row>
    <row r="44" spans="1:12" x14ac:dyDescent="0.2">
      <c r="A44" s="6" t="s">
        <v>17</v>
      </c>
      <c r="B44">
        <f>SUM(B40:B43)</f>
        <v>2</v>
      </c>
      <c r="C44">
        <f>SUM(C40:C43)</f>
        <v>51</v>
      </c>
      <c r="D44">
        <f>SUM(D40:D43)</f>
        <v>164</v>
      </c>
      <c r="E44">
        <f>SUM(E40:E43)</f>
        <v>217</v>
      </c>
      <c r="F44" s="5">
        <f>AVERAGE(F40:F43)</f>
        <v>9.433962264150943E-3</v>
      </c>
      <c r="G44" s="5">
        <f>AVERAGE(G40:G43)</f>
        <v>0.22528451375008002</v>
      </c>
      <c r="H44" s="5">
        <f>AVERAGE(H40:H43)</f>
        <v>0.7652815239857691</v>
      </c>
    </row>
    <row r="45" spans="1:12" x14ac:dyDescent="0.2">
      <c r="A45" s="7" t="s">
        <v>18</v>
      </c>
      <c r="F45" s="8">
        <f>STDEV(F40:F43)</f>
        <v>1.8867924528301886E-2</v>
      </c>
      <c r="G45" s="8">
        <f>STDEV(G40:G43)</f>
        <v>0.13631607229068576</v>
      </c>
      <c r="H45" s="8">
        <f>STDEV(H40:H43)</f>
        <v>0.15399077926883545</v>
      </c>
    </row>
    <row r="46" spans="1:12" x14ac:dyDescent="0.2">
      <c r="A46" s="7" t="s">
        <v>19</v>
      </c>
      <c r="F46" s="8">
        <f>F45/SQRT(4)</f>
        <v>9.433962264150943E-3</v>
      </c>
      <c r="G46" s="8">
        <f>G45/SQRT(4)</f>
        <v>6.8158036145342882E-2</v>
      </c>
      <c r="H46" s="8">
        <f>H45/SQRT(4)</f>
        <v>7.6995389634417724E-2</v>
      </c>
    </row>
    <row r="52" spans="1:17" x14ac:dyDescent="0.2">
      <c r="A52" s="1" t="s">
        <v>40</v>
      </c>
    </row>
    <row r="53" spans="1:17" x14ac:dyDescent="0.2">
      <c r="C53" t="s">
        <v>37</v>
      </c>
      <c r="I53" t="s">
        <v>37</v>
      </c>
      <c r="O53" t="s">
        <v>37</v>
      </c>
    </row>
    <row r="54" spans="1:17" x14ac:dyDescent="0.2">
      <c r="B54" s="1" t="s">
        <v>2</v>
      </c>
      <c r="C54" s="1" t="s">
        <v>10</v>
      </c>
      <c r="D54" s="1" t="s">
        <v>11</v>
      </c>
      <c r="E54" s="1" t="s">
        <v>38</v>
      </c>
      <c r="H54" s="1" t="s">
        <v>2</v>
      </c>
      <c r="I54" s="1" t="s">
        <v>10</v>
      </c>
      <c r="J54" s="1" t="s">
        <v>11</v>
      </c>
      <c r="K54" s="1" t="s">
        <v>38</v>
      </c>
      <c r="N54" s="1" t="s">
        <v>2</v>
      </c>
      <c r="O54" s="1" t="s">
        <v>10</v>
      </c>
      <c r="P54" s="1" t="s">
        <v>11</v>
      </c>
      <c r="Q54" s="1" t="s">
        <v>38</v>
      </c>
    </row>
    <row r="55" spans="1:17" x14ac:dyDescent="0.2">
      <c r="A55" s="1" t="s">
        <v>1</v>
      </c>
      <c r="B55">
        <v>393</v>
      </c>
      <c r="C55">
        <v>22</v>
      </c>
      <c r="D55">
        <v>10</v>
      </c>
      <c r="E55">
        <f>SUM(B55:D55)</f>
        <v>425</v>
      </c>
      <c r="G55" s="1" t="s">
        <v>1</v>
      </c>
      <c r="H55">
        <v>393</v>
      </c>
      <c r="I55">
        <v>22</v>
      </c>
      <c r="J55">
        <v>10</v>
      </c>
      <c r="K55">
        <f>SUM(H55:J55)</f>
        <v>425</v>
      </c>
      <c r="M55" s="1" t="s">
        <v>1</v>
      </c>
      <c r="N55">
        <v>393</v>
      </c>
      <c r="O55">
        <v>22</v>
      </c>
      <c r="P55">
        <v>10</v>
      </c>
      <c r="Q55">
        <f>SUM(N55:P55)</f>
        <v>425</v>
      </c>
    </row>
    <row r="56" spans="1:17" x14ac:dyDescent="0.2">
      <c r="A56" s="1" t="s">
        <v>20</v>
      </c>
      <c r="B56">
        <v>10</v>
      </c>
      <c r="C56">
        <v>151</v>
      </c>
      <c r="D56">
        <v>137</v>
      </c>
      <c r="E56">
        <f>SUM(B56:D56)</f>
        <v>298</v>
      </c>
      <c r="G56" s="1" t="s">
        <v>26</v>
      </c>
      <c r="H56">
        <v>308</v>
      </c>
      <c r="I56">
        <v>24</v>
      </c>
      <c r="J56">
        <v>11</v>
      </c>
      <c r="K56">
        <f>SUM(H56:J56)</f>
        <v>343</v>
      </c>
      <c r="M56" s="1" t="s">
        <v>32</v>
      </c>
      <c r="N56">
        <v>2</v>
      </c>
      <c r="O56">
        <v>51</v>
      </c>
      <c r="P56">
        <v>164</v>
      </c>
      <c r="Q56">
        <f>SUM(N56:P56)</f>
        <v>217</v>
      </c>
    </row>
    <row r="57" spans="1:17" x14ac:dyDescent="0.2">
      <c r="A57" s="1" t="s">
        <v>38</v>
      </c>
      <c r="B57">
        <f>SUM(B55:B56)</f>
        <v>403</v>
      </c>
      <c r="C57">
        <f>SUM(C55:C56)</f>
        <v>173</v>
      </c>
      <c r="D57">
        <f>SUM(D55:D56)</f>
        <v>147</v>
      </c>
      <c r="E57">
        <f>SUM(B57:D57)</f>
        <v>723</v>
      </c>
      <c r="G57" t="s">
        <v>38</v>
      </c>
      <c r="H57">
        <f>SUM(H55:H56)</f>
        <v>701</v>
      </c>
      <c r="I57">
        <f>SUM(I55:I56)</f>
        <v>46</v>
      </c>
      <c r="J57">
        <f>SUM(J55:J56)</f>
        <v>21</v>
      </c>
      <c r="K57">
        <f>SUM(H57:J57)</f>
        <v>768</v>
      </c>
      <c r="M57" s="1" t="s">
        <v>38</v>
      </c>
      <c r="N57">
        <f>SUM(N55:N56)</f>
        <v>395</v>
      </c>
      <c r="O57">
        <f>SUM(O55:O56)</f>
        <v>73</v>
      </c>
      <c r="P57">
        <f>SUM(P55:P56)</f>
        <v>174</v>
      </c>
      <c r="Q57">
        <f>SUM(Q55:Q56)</f>
        <v>642</v>
      </c>
    </row>
    <row r="58" spans="1:17" x14ac:dyDescent="0.2">
      <c r="A58" s="1"/>
      <c r="G58" s="1"/>
      <c r="H58" s="4"/>
      <c r="I58" s="4"/>
      <c r="J58" s="4"/>
    </row>
    <row r="60" spans="1:17" x14ac:dyDescent="0.2">
      <c r="C60" t="s">
        <v>39</v>
      </c>
      <c r="I60" t="s">
        <v>39</v>
      </c>
      <c r="O60" t="s">
        <v>39</v>
      </c>
    </row>
    <row r="61" spans="1:17" x14ac:dyDescent="0.2">
      <c r="B61" s="1" t="s">
        <v>2</v>
      </c>
      <c r="C61" s="1" t="s">
        <v>10</v>
      </c>
      <c r="D61" s="1" t="s">
        <v>11</v>
      </c>
      <c r="E61" s="1" t="s">
        <v>38</v>
      </c>
      <c r="H61" s="1" t="s">
        <v>2</v>
      </c>
      <c r="I61" s="1" t="s">
        <v>10</v>
      </c>
      <c r="J61" s="1" t="s">
        <v>11</v>
      </c>
      <c r="K61" s="1" t="s">
        <v>38</v>
      </c>
      <c r="N61" s="1" t="s">
        <v>2</v>
      </c>
      <c r="O61" s="1" t="s">
        <v>10</v>
      </c>
      <c r="P61" s="1" t="s">
        <v>11</v>
      </c>
      <c r="Q61" s="1" t="s">
        <v>38</v>
      </c>
    </row>
    <row r="62" spans="1:17" x14ac:dyDescent="0.2">
      <c r="A62" s="1" t="s">
        <v>1</v>
      </c>
      <c r="B62">
        <f>(B57*E55)/E57</f>
        <v>236.89488243430151</v>
      </c>
      <c r="C62">
        <f>(C57*E55)/E57</f>
        <v>101.69432918395574</v>
      </c>
      <c r="D62">
        <f>(D57*E55)/E57</f>
        <v>86.410788381742734</v>
      </c>
      <c r="E62" s="4"/>
      <c r="G62" s="1" t="s">
        <v>1</v>
      </c>
      <c r="H62">
        <f>(H57*K55)/K57</f>
        <v>387.92317708333331</v>
      </c>
      <c r="I62">
        <f>(I57*K55)/K57</f>
        <v>25.455729166666668</v>
      </c>
      <c r="J62">
        <f>(J57*K55)/K57</f>
        <v>11.62109375</v>
      </c>
      <c r="M62" s="1" t="s">
        <v>1</v>
      </c>
      <c r="N62">
        <f>(N57*Q55)/Q57</f>
        <v>261.48753894080994</v>
      </c>
      <c r="O62">
        <f>(O57*Q55)/Q57</f>
        <v>48.325545171339563</v>
      </c>
      <c r="P62">
        <f>(P57*Q55)/Q57</f>
        <v>115.18691588785046</v>
      </c>
    </row>
    <row r="63" spans="1:17" x14ac:dyDescent="0.2">
      <c r="A63" s="1" t="s">
        <v>20</v>
      </c>
      <c r="B63">
        <f>(B57*E56)/E57</f>
        <v>166.10511756569849</v>
      </c>
      <c r="C63">
        <f>(C57*E56)/E57</f>
        <v>71.305670816044255</v>
      </c>
      <c r="D63">
        <f>(D57*E56)/E57</f>
        <v>60.589211618257259</v>
      </c>
      <c r="E63" s="4"/>
      <c r="G63" s="1" t="s">
        <v>26</v>
      </c>
      <c r="H63">
        <f>(H57*K56)/K57</f>
        <v>313.07682291666669</v>
      </c>
      <c r="I63">
        <f>(I57*K56)/K57</f>
        <v>20.544270833333332</v>
      </c>
      <c r="J63">
        <f>(J57*K56)/K57</f>
        <v>9.37890625</v>
      </c>
      <c r="M63" s="1" t="s">
        <v>32</v>
      </c>
      <c r="N63">
        <f>(N57*Q56)/Q57</f>
        <v>133.51246105919003</v>
      </c>
      <c r="O63">
        <f>(O57*Q56)/Q57</f>
        <v>24.674454828660437</v>
      </c>
      <c r="P63">
        <f>(P57*Q56)/Q57</f>
        <v>58.813084112149532</v>
      </c>
    </row>
    <row r="64" spans="1:17" x14ac:dyDescent="0.2">
      <c r="A64" s="1"/>
      <c r="B64" s="4"/>
      <c r="C64" s="4"/>
      <c r="D64" s="4"/>
      <c r="E64" s="4"/>
      <c r="H64" s="4"/>
      <c r="I64" s="4"/>
      <c r="J64" s="4"/>
      <c r="K64" s="4"/>
      <c r="M64" s="1"/>
    </row>
    <row r="65" spans="1:13" x14ac:dyDescent="0.2">
      <c r="A65">
        <f>_xlfn.CHISQ.TEST(B55:D56,B62:D63)</f>
        <v>2.0195561166828867E-123</v>
      </c>
      <c r="G65">
        <f>_xlfn.CHISQ.TEST(H55:J56,H62:J63)</f>
        <v>0.42623799475299751</v>
      </c>
      <c r="M65">
        <f>_xlfn.CHISQ.TEST(N55:P56,N62:P63)</f>
        <v>3.84724531189963E-114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37BA-8C71-E341-8044-F4619F476EB9}">
  <dimension ref="A1:AQ65"/>
  <sheetViews>
    <sheetView tabSelected="1" workbookViewId="0">
      <selection activeCell="U1" sqref="U1"/>
    </sheetView>
  </sheetViews>
  <sheetFormatPr baseColWidth="10" defaultRowHeight="16" x14ac:dyDescent="0.2"/>
  <sheetData>
    <row r="1" spans="1:37" x14ac:dyDescent="0.2">
      <c r="A1" s="1" t="s">
        <v>41</v>
      </c>
      <c r="U1" s="1" t="s">
        <v>0</v>
      </c>
    </row>
    <row r="3" spans="1:3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2</v>
      </c>
      <c r="K3" s="1" t="s">
        <v>10</v>
      </c>
      <c r="L3" s="1" t="s">
        <v>11</v>
      </c>
      <c r="O3" s="1" t="s">
        <v>2</v>
      </c>
      <c r="P3" s="1" t="s">
        <v>10</v>
      </c>
      <c r="Q3" s="1" t="s">
        <v>11</v>
      </c>
      <c r="U3" s="1" t="s">
        <v>1</v>
      </c>
      <c r="V3" s="1" t="s">
        <v>2</v>
      </c>
      <c r="W3" s="1" t="s">
        <v>3</v>
      </c>
      <c r="X3" s="1" t="s">
        <v>4</v>
      </c>
      <c r="Y3" s="1" t="s">
        <v>5</v>
      </c>
      <c r="Z3" s="1" t="s">
        <v>6</v>
      </c>
      <c r="AA3" s="1" t="s">
        <v>7</v>
      </c>
      <c r="AB3" s="1" t="s">
        <v>8</v>
      </c>
      <c r="AC3" s="1" t="s">
        <v>9</v>
      </c>
      <c r="AD3" s="1" t="s">
        <v>2</v>
      </c>
      <c r="AE3" s="1" t="s">
        <v>10</v>
      </c>
      <c r="AF3" s="1" t="s">
        <v>11</v>
      </c>
      <c r="AI3" s="1" t="s">
        <v>2</v>
      </c>
      <c r="AJ3" s="1" t="s">
        <v>10</v>
      </c>
      <c r="AK3" s="1" t="s">
        <v>11</v>
      </c>
    </row>
    <row r="4" spans="1:37" x14ac:dyDescent="0.2">
      <c r="A4" s="2" t="s">
        <v>42</v>
      </c>
      <c r="B4">
        <f>SUM(16,15,10,7,10,22,20,14,5)</f>
        <v>119</v>
      </c>
      <c r="C4">
        <f>SUM(1,1,1,1,1,1,1)</f>
        <v>7</v>
      </c>
      <c r="D4">
        <f>SUM(1,1,1,1)</f>
        <v>4</v>
      </c>
      <c r="E4">
        <f>SUM(B4,C4,D4)</f>
        <v>130</v>
      </c>
      <c r="F4" s="3">
        <f>B4/E4</f>
        <v>0.91538461538461535</v>
      </c>
      <c r="G4" s="3">
        <f>C4/E4</f>
        <v>5.3846153846153849E-2</v>
      </c>
      <c r="H4" s="3">
        <f>D4/E4</f>
        <v>3.0769230769230771E-2</v>
      </c>
      <c r="I4" s="4">
        <f>SUM(F4:H4)</f>
        <v>1</v>
      </c>
      <c r="J4" s="5">
        <f>F9</f>
        <v>0.89561113874845266</v>
      </c>
      <c r="K4" s="5">
        <f>G9</f>
        <v>6.5043432403561752E-2</v>
      </c>
      <c r="L4" s="5">
        <f>H9</f>
        <v>3.9345428847985628E-2</v>
      </c>
      <c r="N4" s="1" t="s">
        <v>1</v>
      </c>
      <c r="O4" s="4">
        <f>J4</f>
        <v>0.89561113874845266</v>
      </c>
      <c r="P4" s="4">
        <f>K4</f>
        <v>6.5043432403561752E-2</v>
      </c>
      <c r="Q4" s="4">
        <f>L4</f>
        <v>3.9345428847985628E-2</v>
      </c>
      <c r="U4" s="2" t="s">
        <v>42</v>
      </c>
      <c r="V4">
        <f>SUM(4,28,9,3,4,15,16,2,8,4)</f>
        <v>93</v>
      </c>
      <c r="W4">
        <f>SUM(1,1,1,1,1,1)</f>
        <v>6</v>
      </c>
      <c r="X4">
        <f>SUM(1,1)</f>
        <v>2</v>
      </c>
      <c r="Y4">
        <f>SUM(V4,W4,X4)</f>
        <v>101</v>
      </c>
      <c r="Z4" s="3">
        <f>V4/Y4</f>
        <v>0.92079207920792083</v>
      </c>
      <c r="AA4" s="3">
        <f>W4/Y4</f>
        <v>5.9405940594059403E-2</v>
      </c>
      <c r="AB4" s="3">
        <f>X4/Y4</f>
        <v>1.9801980198019802E-2</v>
      </c>
      <c r="AC4" s="4">
        <f>SUM(Z4:AB4)</f>
        <v>1</v>
      </c>
      <c r="AD4" s="5">
        <f>Z9</f>
        <v>0.92383650764974878</v>
      </c>
      <c r="AE4" s="5">
        <f>AA9</f>
        <v>6.0421642962286207E-2</v>
      </c>
      <c r="AF4" s="5">
        <f>AB9</f>
        <v>1.5741849387965138E-2</v>
      </c>
      <c r="AH4" s="1" t="s">
        <v>1</v>
      </c>
      <c r="AI4" s="4">
        <f>AD4</f>
        <v>0.92383650764974878</v>
      </c>
      <c r="AJ4" s="4">
        <f>AE4</f>
        <v>6.0421642962286207E-2</v>
      </c>
      <c r="AK4" s="4">
        <f>AF4</f>
        <v>1.5741849387965138E-2</v>
      </c>
    </row>
    <row r="5" spans="1:37" x14ac:dyDescent="0.2">
      <c r="A5" s="2" t="s">
        <v>43</v>
      </c>
      <c r="B5">
        <f>SUM(6,25,14,19,7,14,29,36)</f>
        <v>150</v>
      </c>
      <c r="C5">
        <f>SUM(1,2,1,1)</f>
        <v>5</v>
      </c>
      <c r="D5">
        <f>SUM(1,1,1,1,1)</f>
        <v>5</v>
      </c>
      <c r="E5">
        <f>SUM(B5,C5,D5)</f>
        <v>160</v>
      </c>
      <c r="F5" s="3">
        <f>B5/E5</f>
        <v>0.9375</v>
      </c>
      <c r="G5" s="3">
        <f>C5/E5</f>
        <v>3.125E-2</v>
      </c>
      <c r="H5" s="3">
        <f>D5/E5</f>
        <v>3.125E-2</v>
      </c>
      <c r="I5" s="4">
        <f>SUM(F5:H5)</f>
        <v>1</v>
      </c>
      <c r="N5" s="1" t="s">
        <v>47</v>
      </c>
      <c r="O5" s="4">
        <f>J16</f>
        <v>0.9037928478417816</v>
      </c>
      <c r="P5" s="4">
        <f>K16</f>
        <v>6.7958994273953341E-2</v>
      </c>
      <c r="Q5" s="4">
        <f>L16</f>
        <v>2.8248157884265029E-2</v>
      </c>
      <c r="U5" s="2" t="s">
        <v>43</v>
      </c>
      <c r="V5">
        <f>SUM(4,2,15,8,3,3,26,5,29)</f>
        <v>95</v>
      </c>
      <c r="W5">
        <f>SUM(1,1,1,1,1)</f>
        <v>5</v>
      </c>
      <c r="X5">
        <f>SUM(1)</f>
        <v>1</v>
      </c>
      <c r="Y5">
        <f>SUM(V5,W5,X5)</f>
        <v>101</v>
      </c>
      <c r="Z5" s="3">
        <f>V5/Y5</f>
        <v>0.94059405940594054</v>
      </c>
      <c r="AA5" s="3">
        <f>W5/Y5</f>
        <v>4.9504950495049507E-2</v>
      </c>
      <c r="AB5" s="3">
        <f>X5/Y5</f>
        <v>9.9009900990099011E-3</v>
      </c>
      <c r="AC5" s="4">
        <f>SUM(Z5:AB5)</f>
        <v>1</v>
      </c>
      <c r="AH5" s="1" t="s">
        <v>47</v>
      </c>
      <c r="AI5" s="4">
        <f>AD16</f>
        <v>0.88127208209750241</v>
      </c>
      <c r="AJ5" s="4">
        <f>AE16</f>
        <v>8.1206666860680149E-2</v>
      </c>
      <c r="AK5" s="4">
        <f>AF16</f>
        <v>3.7521251041817569E-2</v>
      </c>
    </row>
    <row r="6" spans="1:37" x14ac:dyDescent="0.2">
      <c r="A6" s="2" t="s">
        <v>44</v>
      </c>
      <c r="B6">
        <f>SUM(16,15,20,24,38,13,20,7)</f>
        <v>153</v>
      </c>
      <c r="C6">
        <f>SUM(1,1,1,1,2,1,1,1,1,1,2,1,3,2)</f>
        <v>19</v>
      </c>
      <c r="D6">
        <f>SUM(1,1,1,2,1,1,1,1,1,1)</f>
        <v>11</v>
      </c>
      <c r="E6">
        <f>SUM(B6,C6,D6)</f>
        <v>183</v>
      </c>
      <c r="F6" s="3">
        <f>B6/E6</f>
        <v>0.83606557377049184</v>
      </c>
      <c r="G6" s="3">
        <f>C6/E6</f>
        <v>0.10382513661202186</v>
      </c>
      <c r="H6" s="3">
        <f>D6/E6</f>
        <v>6.0109289617486336E-2</v>
      </c>
      <c r="I6" s="4">
        <f>SUM(F6:H6)</f>
        <v>1</v>
      </c>
      <c r="N6" s="1" t="s">
        <v>53</v>
      </c>
      <c r="O6" s="4">
        <f>J28</f>
        <v>0.83785784796262308</v>
      </c>
      <c r="P6" s="4">
        <f>K28</f>
        <v>0.10644239599025369</v>
      </c>
      <c r="Q6" s="4">
        <f>L28</f>
        <v>5.5699756047123274E-2</v>
      </c>
      <c r="U6" s="2" t="s">
        <v>44</v>
      </c>
      <c r="V6">
        <f>SUM(1,1,5,6,13,11,19,21,10)</f>
        <v>87</v>
      </c>
      <c r="W6">
        <f>SUM(1,1,1,1,1,1)</f>
        <v>6</v>
      </c>
      <c r="X6">
        <f>SUM(1)</f>
        <v>1</v>
      </c>
      <c r="Y6">
        <f>SUM(V6,W6,X6)</f>
        <v>94</v>
      </c>
      <c r="Z6" s="3">
        <f>V6/Y6</f>
        <v>0.92553191489361697</v>
      </c>
      <c r="AA6" s="3">
        <f>W6/Y6</f>
        <v>6.3829787234042548E-2</v>
      </c>
      <c r="AB6" s="3">
        <f>X6/Y6</f>
        <v>1.0638297872340425E-2</v>
      </c>
      <c r="AC6" s="4">
        <f>SUM(Z6:AB6)</f>
        <v>0.99999999999999989</v>
      </c>
      <c r="AH6" s="1" t="s">
        <v>53</v>
      </c>
      <c r="AI6" s="4">
        <f>AD28</f>
        <v>3.3206201429092995E-2</v>
      </c>
      <c r="AJ6" s="4">
        <f>AE28</f>
        <v>0.46812411985604757</v>
      </c>
      <c r="AK6" s="4">
        <f>AF28</f>
        <v>0.49866967871485945</v>
      </c>
    </row>
    <row r="7" spans="1:37" x14ac:dyDescent="0.2">
      <c r="A7" s="2" t="s">
        <v>45</v>
      </c>
      <c r="B7">
        <f>SUM(17,12,14,15,31,35,14)</f>
        <v>138</v>
      </c>
      <c r="C7">
        <f>SUM(1,1,1,1,2,1,1,1,1,1,1,1)</f>
        <v>13</v>
      </c>
      <c r="D7">
        <f>SUM(1,1,2,1,1,1,1,1)</f>
        <v>9</v>
      </c>
      <c r="E7">
        <f>SUM(B7,C7,D7)</f>
        <v>160</v>
      </c>
      <c r="F7" s="3">
        <f>B7/E7</f>
        <v>0.86250000000000004</v>
      </c>
      <c r="G7" s="3">
        <f>C7/E7</f>
        <v>8.1250000000000003E-2</v>
      </c>
      <c r="H7" s="3">
        <f>D7/E7</f>
        <v>5.6250000000000001E-2</v>
      </c>
      <c r="I7" s="4">
        <f>SUM(F7:H7)</f>
        <v>1</v>
      </c>
      <c r="U7" s="2" t="s">
        <v>45</v>
      </c>
      <c r="V7">
        <f>SUM(3,31,3,4,2,6,13,1,7,40)</f>
        <v>110</v>
      </c>
      <c r="W7">
        <f>SUM(1,1,1,1,1,1)</f>
        <v>6</v>
      </c>
      <c r="X7">
        <f>SUM(1,1,1)</f>
        <v>3</v>
      </c>
      <c r="Y7">
        <f>SUM(V7,W7,X7)</f>
        <v>119</v>
      </c>
      <c r="Z7" s="3">
        <f>V7/Y7</f>
        <v>0.92436974789915971</v>
      </c>
      <c r="AA7" s="3">
        <f>W7/Y7</f>
        <v>5.0420168067226892E-2</v>
      </c>
      <c r="AB7" s="3">
        <f>X7/Y7</f>
        <v>2.5210084033613446E-2</v>
      </c>
      <c r="AC7" s="4">
        <f>SUM(Z7:AB7)</f>
        <v>1</v>
      </c>
      <c r="AH7" s="1" t="s">
        <v>61</v>
      </c>
      <c r="AI7" s="4">
        <f>AD40</f>
        <v>2.817525687863448E-2</v>
      </c>
      <c r="AJ7" s="4">
        <f>AE40</f>
        <v>0.37655157557589936</v>
      </c>
      <c r="AK7" s="4">
        <f>AF40</f>
        <v>0.59527316754546622</v>
      </c>
    </row>
    <row r="8" spans="1:37" x14ac:dyDescent="0.2">
      <c r="A8" s="2" t="s">
        <v>46</v>
      </c>
      <c r="B8">
        <f>SUM(13,28,21,14,30,46,15,26,9)</f>
        <v>202</v>
      </c>
      <c r="C8">
        <f>SUM(1,1,2,1,1,1,1,1,1,1,1)</f>
        <v>12</v>
      </c>
      <c r="D8">
        <f>SUM(1,1,1,1)</f>
        <v>4</v>
      </c>
      <c r="E8">
        <f>SUM(B8,C8,D8)</f>
        <v>218</v>
      </c>
      <c r="F8" s="3">
        <f>B8/E8</f>
        <v>0.92660550458715596</v>
      </c>
      <c r="G8" s="3">
        <f>C8/E8</f>
        <v>5.5045871559633031E-2</v>
      </c>
      <c r="H8" s="3">
        <f>D8/E8</f>
        <v>1.834862385321101E-2</v>
      </c>
      <c r="I8" s="4">
        <f>SUM(F8:H8)</f>
        <v>1</v>
      </c>
      <c r="U8" s="2" t="s">
        <v>46</v>
      </c>
      <c r="V8">
        <f>SUM(4,4,14,23,3,4,2,15)</f>
        <v>69</v>
      </c>
      <c r="W8">
        <f>SUM(1,1,1,1,1,1)</f>
        <v>6</v>
      </c>
      <c r="X8">
        <f>SUM(1)</f>
        <v>1</v>
      </c>
      <c r="Y8">
        <f>SUM(V8,W8,X8)</f>
        <v>76</v>
      </c>
      <c r="Z8" s="3">
        <f>V8/Y8</f>
        <v>0.90789473684210531</v>
      </c>
      <c r="AA8" s="3">
        <f>W8/Y8</f>
        <v>7.8947368421052627E-2</v>
      </c>
      <c r="AB8" s="3">
        <f>X8/Y8</f>
        <v>1.3157894736842105E-2</v>
      </c>
      <c r="AC8" s="4">
        <f>SUM(Z8:AB8)</f>
        <v>1</v>
      </c>
    </row>
    <row r="9" spans="1:37" x14ac:dyDescent="0.2">
      <c r="A9" s="6" t="s">
        <v>17</v>
      </c>
      <c r="B9">
        <f>SUM(B4:B8)</f>
        <v>762</v>
      </c>
      <c r="C9">
        <f>SUM(C4:C8)</f>
        <v>56</v>
      </c>
      <c r="D9">
        <f>SUM(D4:D8)</f>
        <v>33</v>
      </c>
      <c r="E9">
        <f>SUM(E4:E8)</f>
        <v>851</v>
      </c>
      <c r="F9" s="5">
        <f>AVERAGE(F4:F8)</f>
        <v>0.89561113874845266</v>
      </c>
      <c r="G9" s="5">
        <f>AVERAGE(G4:G8)</f>
        <v>6.5043432403561752E-2</v>
      </c>
      <c r="H9" s="5">
        <f>AVERAGE(H4:H8)</f>
        <v>3.9345428847985628E-2</v>
      </c>
      <c r="U9" s="6" t="s">
        <v>17</v>
      </c>
      <c r="V9">
        <f>SUM(V4:V8)</f>
        <v>454</v>
      </c>
      <c r="W9">
        <f>SUM(W4:W8)</f>
        <v>29</v>
      </c>
      <c r="X9">
        <f>SUM(X4:X8)</f>
        <v>8</v>
      </c>
      <c r="Y9">
        <f>SUM(Y4:Y8)</f>
        <v>491</v>
      </c>
      <c r="Z9" s="5">
        <f>AVERAGE(Z4:Z8)</f>
        <v>0.92383650764974878</v>
      </c>
      <c r="AA9" s="5">
        <f>AVERAGE(AA4:AA8)</f>
        <v>6.0421642962286207E-2</v>
      </c>
      <c r="AB9" s="5">
        <f>AVERAGE(AB4:AB8)</f>
        <v>1.5741849387965138E-2</v>
      </c>
    </row>
    <row r="10" spans="1:37" x14ac:dyDescent="0.2">
      <c r="A10" s="7" t="s">
        <v>18</v>
      </c>
      <c r="F10" s="8">
        <f>STDEV(F4:F8)</f>
        <v>4.4012326701560182E-2</v>
      </c>
      <c r="G10" s="8">
        <f>STDEV(G4:G8)</f>
        <v>2.7991068924322782E-2</v>
      </c>
      <c r="H10" s="8">
        <f>STDEV(H4:H8)</f>
        <v>1.8005939308990207E-2</v>
      </c>
      <c r="U10" s="7" t="s">
        <v>18</v>
      </c>
      <c r="Z10" s="8">
        <f>STDEV(Z4:Z8)</f>
        <v>1.1698107675693136E-2</v>
      </c>
      <c r="AA10" s="8">
        <f>STDEV(AA4:AA8)</f>
        <v>1.1990134246039891E-2</v>
      </c>
      <c r="AB10" s="8">
        <f>STDEV(AB4:AB8)</f>
        <v>6.5759186895231634E-3</v>
      </c>
    </row>
    <row r="11" spans="1:37" x14ac:dyDescent="0.2">
      <c r="A11" s="7" t="s">
        <v>19</v>
      </c>
      <c r="F11" s="8">
        <f>F10/SQRT(5)</f>
        <v>1.9682910870523533E-2</v>
      </c>
      <c r="G11" s="8">
        <f>G10/SQRT(5)</f>
        <v>1.2517986575533531E-2</v>
      </c>
      <c r="H11" s="8">
        <f>H10/SQRT(5)</f>
        <v>8.0525008587275376E-3</v>
      </c>
      <c r="U11" s="7" t="s">
        <v>19</v>
      </c>
      <c r="Z11" s="8">
        <f>Z10/SQRT(5)</f>
        <v>5.2315527941923833E-3</v>
      </c>
      <c r="AA11" s="8">
        <f>AA10/SQRT(5)</f>
        <v>5.3621510466986769E-3</v>
      </c>
      <c r="AB11" s="8">
        <f>AB10/SQRT(5)</f>
        <v>2.9408402408570254E-3</v>
      </c>
    </row>
    <row r="15" spans="1:37" x14ac:dyDescent="0.2">
      <c r="A15" s="1" t="s">
        <v>47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2</v>
      </c>
      <c r="K15" s="1" t="s">
        <v>10</v>
      </c>
      <c r="L15" s="1" t="s">
        <v>11</v>
      </c>
      <c r="U15" s="1" t="s">
        <v>47</v>
      </c>
      <c r="V15" s="1" t="s">
        <v>2</v>
      </c>
      <c r="W15" s="1" t="s">
        <v>3</v>
      </c>
      <c r="X15" s="1" t="s">
        <v>4</v>
      </c>
      <c r="Y15" s="1" t="s">
        <v>5</v>
      </c>
      <c r="Z15" s="1" t="s">
        <v>6</v>
      </c>
      <c r="AA15" s="1" t="s">
        <v>7</v>
      </c>
      <c r="AB15" s="1" t="s">
        <v>8</v>
      </c>
      <c r="AC15" s="1" t="s">
        <v>9</v>
      </c>
      <c r="AD15" s="1" t="s">
        <v>2</v>
      </c>
      <c r="AE15" s="1" t="s">
        <v>10</v>
      </c>
      <c r="AF15" s="1" t="s">
        <v>11</v>
      </c>
    </row>
    <row r="16" spans="1:37" x14ac:dyDescent="0.2">
      <c r="A16" s="2" t="s">
        <v>48</v>
      </c>
      <c r="B16">
        <f>SUM(25,11,29,14,26,14,16,4)</f>
        <v>139</v>
      </c>
      <c r="C16">
        <f>SUM(1,1,2,2,1,1,1,1,1)</f>
        <v>11</v>
      </c>
      <c r="D16">
        <f>SUM(1,1,1,1,1,1,1)</f>
        <v>7</v>
      </c>
      <c r="E16">
        <f>SUM(B16,C16,D16)</f>
        <v>157</v>
      </c>
      <c r="F16" s="3">
        <f>B16/E16</f>
        <v>0.88535031847133761</v>
      </c>
      <c r="G16" s="3">
        <f>C16/E16</f>
        <v>7.0063694267515922E-2</v>
      </c>
      <c r="H16" s="3">
        <f>D16/E16</f>
        <v>4.4585987261146494E-2</v>
      </c>
      <c r="I16" s="4">
        <f>SUM(F16:H16)</f>
        <v>1</v>
      </c>
      <c r="J16" s="5">
        <f>F21</f>
        <v>0.9037928478417816</v>
      </c>
      <c r="K16" s="5">
        <f>G21</f>
        <v>6.7958994273953341E-2</v>
      </c>
      <c r="L16" s="5">
        <f>H21</f>
        <v>2.8248157884265029E-2</v>
      </c>
      <c r="U16" s="2" t="s">
        <v>48</v>
      </c>
      <c r="V16">
        <f>SUM(8,12,2,10,24,5,4,5,3,4,19,17)</f>
        <v>113</v>
      </c>
      <c r="W16">
        <f>SUM(1,2,1,1,1,1,1)</f>
        <v>8</v>
      </c>
      <c r="X16">
        <f>SUM(1)</f>
        <v>1</v>
      </c>
      <c r="Y16">
        <f>SUM(V16,W16,X16)</f>
        <v>122</v>
      </c>
      <c r="Z16" s="3">
        <f>V16/Y16</f>
        <v>0.92622950819672134</v>
      </c>
      <c r="AA16" s="3">
        <f>W16/Y16</f>
        <v>6.5573770491803282E-2</v>
      </c>
      <c r="AB16" s="3">
        <f>X16/Y16</f>
        <v>8.1967213114754103E-3</v>
      </c>
      <c r="AC16" s="4">
        <f>SUM(Z16:AB16)</f>
        <v>1</v>
      </c>
      <c r="AD16" s="5">
        <f>Z21</f>
        <v>0.88127208209750241</v>
      </c>
      <c r="AE16" s="5">
        <f>AA21</f>
        <v>8.1206666860680149E-2</v>
      </c>
      <c r="AF16" s="5">
        <f>AB21</f>
        <v>3.7521251041817569E-2</v>
      </c>
    </row>
    <row r="17" spans="1:32" x14ac:dyDescent="0.2">
      <c r="A17" s="2" t="s">
        <v>49</v>
      </c>
      <c r="B17">
        <f>SUM(18,19,9,14,40,14,22,30,11,8)</f>
        <v>185</v>
      </c>
      <c r="C17">
        <f>SUM(1,1,2,1,1,2,2,3)</f>
        <v>13</v>
      </c>
      <c r="D17">
        <f>SUM(2,1,2)</f>
        <v>5</v>
      </c>
      <c r="E17">
        <f>SUM(B17,C17,D17)</f>
        <v>203</v>
      </c>
      <c r="F17" s="3">
        <f>B17/E17</f>
        <v>0.91133004926108374</v>
      </c>
      <c r="G17" s="3">
        <f>C17/E17</f>
        <v>6.4039408866995079E-2</v>
      </c>
      <c r="H17" s="3">
        <f>D17/E17</f>
        <v>2.4630541871921183E-2</v>
      </c>
      <c r="I17" s="4">
        <f>SUM(F17:H17)</f>
        <v>1</v>
      </c>
      <c r="U17" s="2" t="s">
        <v>49</v>
      </c>
      <c r="V17">
        <f>SUM(2,11,13,8,3,8,12,2,2,5,2,9)</f>
        <v>77</v>
      </c>
      <c r="W17">
        <f>SUM(1,1,1,1,1,1,2)</f>
        <v>8</v>
      </c>
      <c r="X17">
        <f>SUM(1,1,1)</f>
        <v>3</v>
      </c>
      <c r="Y17">
        <f>SUM(V17,W17,X17)</f>
        <v>88</v>
      </c>
      <c r="Z17" s="3">
        <f>V17/Y17</f>
        <v>0.875</v>
      </c>
      <c r="AA17" s="3">
        <f>W17/Y17</f>
        <v>9.0909090909090912E-2</v>
      </c>
      <c r="AB17" s="3">
        <f>X17/Y17</f>
        <v>3.4090909090909088E-2</v>
      </c>
      <c r="AC17" s="4">
        <f>SUM(Z17:AB17)</f>
        <v>1</v>
      </c>
    </row>
    <row r="18" spans="1:32" x14ac:dyDescent="0.2">
      <c r="A18" s="2" t="s">
        <v>50</v>
      </c>
      <c r="B18">
        <f>SUM(19,20,39,24,15,51)</f>
        <v>168</v>
      </c>
      <c r="C18">
        <f>SUM(1,1,2,1,2,2,2,1)</f>
        <v>12</v>
      </c>
      <c r="D18">
        <f>SUM(2,1,1,1)</f>
        <v>5</v>
      </c>
      <c r="E18">
        <f>SUM(B18,C18,D18)</f>
        <v>185</v>
      </c>
      <c r="F18" s="3">
        <f>B18/E18</f>
        <v>0.90810810810810816</v>
      </c>
      <c r="G18" s="3">
        <f>C18/E18</f>
        <v>6.4864864864864868E-2</v>
      </c>
      <c r="H18" s="3">
        <f>D18/E18</f>
        <v>2.7027027027027029E-2</v>
      </c>
      <c r="I18" s="4">
        <f>SUM(F18:H18)</f>
        <v>1</v>
      </c>
      <c r="U18" s="2" t="s">
        <v>50</v>
      </c>
      <c r="V18">
        <f>SUM(9,6,7,10,12,11,4,2,12,18)</f>
        <v>91</v>
      </c>
      <c r="W18">
        <f>SUM(1,1,1,1,2,2)</f>
        <v>8</v>
      </c>
      <c r="X18">
        <f>SUM(1,4)</f>
        <v>5</v>
      </c>
      <c r="Y18">
        <f>SUM(V18,W18,X18)</f>
        <v>104</v>
      </c>
      <c r="Z18" s="3">
        <f>V18/Y18</f>
        <v>0.875</v>
      </c>
      <c r="AA18" s="3">
        <f>W18/Y18</f>
        <v>7.6923076923076927E-2</v>
      </c>
      <c r="AB18" s="3">
        <f>X18/Y18</f>
        <v>4.807692307692308E-2</v>
      </c>
      <c r="AC18" s="4">
        <f>SUM(Z18:AB18)</f>
        <v>1</v>
      </c>
    </row>
    <row r="19" spans="1:32" x14ac:dyDescent="0.2">
      <c r="A19" s="2" t="s">
        <v>51</v>
      </c>
      <c r="B19">
        <f>SUM(18,12,19,41,16,19,16,23,24)</f>
        <v>188</v>
      </c>
      <c r="C19">
        <f>SUM(2,1,1,2,1,1,1,3,1)</f>
        <v>13</v>
      </c>
      <c r="D19">
        <f>SUM(1,1,1,1,1)</f>
        <v>5</v>
      </c>
      <c r="E19">
        <f>SUM(B19,C19,D19)</f>
        <v>206</v>
      </c>
      <c r="F19" s="3">
        <f>B19/E19</f>
        <v>0.91262135922330101</v>
      </c>
      <c r="G19" s="3">
        <f>C19/E19</f>
        <v>6.3106796116504854E-2</v>
      </c>
      <c r="H19" s="3">
        <f>D19/E19</f>
        <v>2.4271844660194174E-2</v>
      </c>
      <c r="I19" s="4">
        <f>SUM(F19:H19)</f>
        <v>1</v>
      </c>
      <c r="U19" s="2" t="s">
        <v>51</v>
      </c>
      <c r="V19">
        <f>SUM(25,9,15,14,14)</f>
        <v>77</v>
      </c>
      <c r="W19">
        <f>SUM(1,1,1,1,1,2,3,1)</f>
        <v>11</v>
      </c>
      <c r="X19">
        <f>SUM(1,1,1,2)</f>
        <v>5</v>
      </c>
      <c r="Y19">
        <f>SUM(V19,W19,X19)</f>
        <v>93</v>
      </c>
      <c r="Z19" s="3">
        <f>V19/Y19</f>
        <v>0.82795698924731187</v>
      </c>
      <c r="AA19" s="3">
        <f>W19/Y19</f>
        <v>0.11827956989247312</v>
      </c>
      <c r="AB19" s="3">
        <f>X19/Y19</f>
        <v>5.3763440860215055E-2</v>
      </c>
      <c r="AC19" s="4">
        <f>SUM(Z19:AB19)</f>
        <v>1</v>
      </c>
    </row>
    <row r="20" spans="1:32" x14ac:dyDescent="0.2">
      <c r="A20" s="2" t="s">
        <v>52</v>
      </c>
      <c r="B20">
        <f>SUM(36,12,16,25,14,15,22,7,14,13)</f>
        <v>174</v>
      </c>
      <c r="C20">
        <f>SUM(1,2,1,2,1,1,2,2,2,1)</f>
        <v>15</v>
      </c>
      <c r="D20">
        <f>SUM(1,1,1,1)</f>
        <v>4</v>
      </c>
      <c r="E20">
        <f>SUM(B20,C20,D20)</f>
        <v>193</v>
      </c>
      <c r="F20" s="3">
        <f>B20/E20</f>
        <v>0.9015544041450777</v>
      </c>
      <c r="G20" s="3">
        <f>C20/E20</f>
        <v>7.7720207253886009E-2</v>
      </c>
      <c r="H20" s="3">
        <f>D20/E20</f>
        <v>2.072538860103627E-2</v>
      </c>
      <c r="I20" s="4">
        <f>SUM(F20:H20)</f>
        <v>0.99999999999999989</v>
      </c>
      <c r="U20" s="2" t="s">
        <v>52</v>
      </c>
      <c r="V20">
        <f>SUM(18,9,19,9,17,11)</f>
        <v>83</v>
      </c>
      <c r="W20">
        <f>SUM(1,1,1,1,1)</f>
        <v>5</v>
      </c>
      <c r="X20">
        <f>SUM(1,1,1,1)</f>
        <v>4</v>
      </c>
      <c r="Y20">
        <f>SUM(V20,W20,X20)</f>
        <v>92</v>
      </c>
      <c r="Z20" s="3">
        <f>V20/Y20</f>
        <v>0.90217391304347827</v>
      </c>
      <c r="AA20" s="3">
        <f>W20/Y20</f>
        <v>5.434782608695652E-2</v>
      </c>
      <c r="AB20" s="3">
        <f>X20/Y20</f>
        <v>4.3478260869565216E-2</v>
      </c>
      <c r="AC20" s="4">
        <f>SUM(Z20:AB20)</f>
        <v>1</v>
      </c>
    </row>
    <row r="21" spans="1:32" x14ac:dyDescent="0.2">
      <c r="A21" s="6" t="s">
        <v>17</v>
      </c>
      <c r="B21">
        <f>SUM(B16:B20)</f>
        <v>854</v>
      </c>
      <c r="C21">
        <f>SUM(C16:C20)</f>
        <v>64</v>
      </c>
      <c r="D21">
        <f>SUM(D16:D20)</f>
        <v>26</v>
      </c>
      <c r="E21">
        <f>SUM(E16:E20)</f>
        <v>944</v>
      </c>
      <c r="F21" s="5">
        <f>AVERAGE(F16:F20)</f>
        <v>0.9037928478417816</v>
      </c>
      <c r="G21" s="5">
        <f>AVERAGE(G16:G20)</f>
        <v>6.7958994273953341E-2</v>
      </c>
      <c r="H21" s="5">
        <f>AVERAGE(H16:H20)</f>
        <v>2.8248157884265029E-2</v>
      </c>
      <c r="U21" s="6" t="s">
        <v>17</v>
      </c>
      <c r="V21">
        <f>SUM(V16:V20)</f>
        <v>441</v>
      </c>
      <c r="W21">
        <f>SUM(W16:W20)</f>
        <v>40</v>
      </c>
      <c r="X21">
        <f>SUM(X16:X20)</f>
        <v>18</v>
      </c>
      <c r="Y21">
        <f>SUM(Y16:Y20)</f>
        <v>499</v>
      </c>
      <c r="Z21" s="5">
        <f>AVERAGE(Z16:Z20)</f>
        <v>0.88127208209750241</v>
      </c>
      <c r="AA21" s="5">
        <f>AVERAGE(AA16:AA20)</f>
        <v>8.1206666860680149E-2</v>
      </c>
      <c r="AB21" s="5">
        <f>AVERAGE(AB16:AB20)</f>
        <v>3.7521251041817569E-2</v>
      </c>
    </row>
    <row r="22" spans="1:32" x14ac:dyDescent="0.2">
      <c r="A22" s="7" t="s">
        <v>18</v>
      </c>
      <c r="F22" s="8">
        <f>STDEV(F16:F20)</f>
        <v>1.1163680053838512E-2</v>
      </c>
      <c r="G22" s="8">
        <f>STDEV(G16:G20)</f>
        <v>6.0866997302372562E-3</v>
      </c>
      <c r="H22" s="8">
        <f>STDEV(H16:H20)</f>
        <v>9.4061960892271486E-3</v>
      </c>
      <c r="U22" s="7" t="s">
        <v>18</v>
      </c>
      <c r="Z22" s="8">
        <f>STDEV(Z16:Z20)</f>
        <v>3.6671630218947669E-2</v>
      </c>
      <c r="AA22" s="8">
        <f>STDEV(AA16:AA20)</f>
        <v>2.4762224713067084E-2</v>
      </c>
      <c r="AB22" s="8">
        <f>STDEV(AB16:AB20)</f>
        <v>1.7905391632852721E-2</v>
      </c>
    </row>
    <row r="23" spans="1:32" x14ac:dyDescent="0.2">
      <c r="A23" s="7" t="s">
        <v>19</v>
      </c>
      <c r="F23" s="8">
        <f>F22/SQRT(5)</f>
        <v>4.9925494958882851E-3</v>
      </c>
      <c r="G23" s="8">
        <f>G22/SQRT(5)</f>
        <v>2.7220548710880275E-3</v>
      </c>
      <c r="H23" s="8">
        <f>H22/SQRT(5)</f>
        <v>4.2065787730409159E-3</v>
      </c>
      <c r="U23" s="7" t="s">
        <v>19</v>
      </c>
      <c r="Z23" s="8">
        <f>Z22/SQRT(5)</f>
        <v>1.6400051603060496E-2</v>
      </c>
      <c r="AA23" s="8">
        <f>AA22/SQRT(5)</f>
        <v>1.1074003546508645E-2</v>
      </c>
      <c r="AB23" s="8">
        <f>AB22/SQRT(5)</f>
        <v>8.0075345709629282E-3</v>
      </c>
    </row>
    <row r="27" spans="1:32" x14ac:dyDescent="0.2">
      <c r="A27" s="1" t="s">
        <v>53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2</v>
      </c>
      <c r="K27" s="1" t="s">
        <v>10</v>
      </c>
      <c r="L27" s="1" t="s">
        <v>11</v>
      </c>
      <c r="U27" s="1" t="s">
        <v>53</v>
      </c>
      <c r="V27" s="1" t="s">
        <v>2</v>
      </c>
      <c r="W27" s="1" t="s">
        <v>3</v>
      </c>
      <c r="X27" s="1" t="s">
        <v>4</v>
      </c>
      <c r="Y27" s="1" t="s">
        <v>5</v>
      </c>
      <c r="Z27" s="1" t="s">
        <v>6</v>
      </c>
      <c r="AA27" s="1" t="s">
        <v>7</v>
      </c>
      <c r="AB27" s="1" t="s">
        <v>8</v>
      </c>
      <c r="AC27" s="1" t="s">
        <v>9</v>
      </c>
      <c r="AD27" s="1" t="s">
        <v>2</v>
      </c>
      <c r="AE27" s="1" t="s">
        <v>10</v>
      </c>
      <c r="AF27" s="1" t="s">
        <v>11</v>
      </c>
    </row>
    <row r="28" spans="1:32" x14ac:dyDescent="0.2">
      <c r="A28" s="2" t="s">
        <v>54</v>
      </c>
      <c r="B28">
        <f>SUM(8,15,20,27,16,13,20,9,28)</f>
        <v>156</v>
      </c>
      <c r="C28">
        <f>SUM(1,2,1,1,1,1,1,2,1,1,1,1,1,2,1,1)</f>
        <v>19</v>
      </c>
      <c r="D28">
        <f>SUM(1,1,1,1,1,1,1)</f>
        <v>7</v>
      </c>
      <c r="E28">
        <f>SUM(B28,C28,D28)</f>
        <v>182</v>
      </c>
      <c r="F28" s="3">
        <f>B28/E28</f>
        <v>0.8571428571428571</v>
      </c>
      <c r="G28" s="3">
        <f>C28/E28</f>
        <v>0.1043956043956044</v>
      </c>
      <c r="H28" s="3">
        <f>D28/E28</f>
        <v>3.8461538461538464E-2</v>
      </c>
      <c r="I28" s="4">
        <f>SUM(F28:H28)</f>
        <v>0.99999999999999989</v>
      </c>
      <c r="J28" s="5">
        <f>F33</f>
        <v>0.83785784796262308</v>
      </c>
      <c r="K28" s="5">
        <f>G33</f>
        <v>0.10644239599025369</v>
      </c>
      <c r="L28" s="5">
        <f>H33</f>
        <v>5.5699756047123274E-2</v>
      </c>
      <c r="U28" s="2" t="s">
        <v>54</v>
      </c>
      <c r="V28">
        <f>SUM(1,1,1,2,1)</f>
        <v>6</v>
      </c>
      <c r="W28">
        <f>SUM(1,4,3,3,17,17,4)</f>
        <v>49</v>
      </c>
      <c r="X28">
        <f>SUM(3,6,4,7,21)</f>
        <v>41</v>
      </c>
      <c r="Y28">
        <f>SUM(V28,W28,X28)</f>
        <v>96</v>
      </c>
      <c r="Z28" s="3">
        <f>V28/Y28</f>
        <v>6.25E-2</v>
      </c>
      <c r="AA28" s="3">
        <f>W28/Y28</f>
        <v>0.51041666666666663</v>
      </c>
      <c r="AB28" s="3">
        <f>X28/Y28</f>
        <v>0.42708333333333331</v>
      </c>
      <c r="AC28" s="4">
        <f>SUM(Z28:AB28)</f>
        <v>1</v>
      </c>
      <c r="AD28" s="5">
        <f>Z33</f>
        <v>3.3206201429092995E-2</v>
      </c>
      <c r="AE28" s="5">
        <f>AA33</f>
        <v>0.46812411985604757</v>
      </c>
      <c r="AF28" s="5">
        <f>AB33</f>
        <v>0.49866967871485945</v>
      </c>
    </row>
    <row r="29" spans="1:32" x14ac:dyDescent="0.2">
      <c r="A29" s="2" t="s">
        <v>55</v>
      </c>
      <c r="B29">
        <f>SUM(18,16,6,21,16,10,18,18)</f>
        <v>123</v>
      </c>
      <c r="C29">
        <f>SUM(2,2,1,1,1,1,1,2,1,1,1,1,1,1)</f>
        <v>17</v>
      </c>
      <c r="D29">
        <f>SUM(1,1,1,1,1,1)</f>
        <v>6</v>
      </c>
      <c r="E29">
        <f>SUM(B29,C29,D29)</f>
        <v>146</v>
      </c>
      <c r="F29" s="3">
        <f>B29/E29</f>
        <v>0.84246575342465757</v>
      </c>
      <c r="G29" s="3">
        <f>C29/E29</f>
        <v>0.11643835616438356</v>
      </c>
      <c r="H29" s="3">
        <f>D29/E29</f>
        <v>4.1095890410958902E-2</v>
      </c>
      <c r="I29" s="4">
        <f>SUM(F29:H29)</f>
        <v>1</v>
      </c>
      <c r="U29" s="2" t="s">
        <v>55</v>
      </c>
      <c r="V29">
        <f>SUM(1)</f>
        <v>1</v>
      </c>
      <c r="W29">
        <f>SUM(10,7,9)</f>
        <v>26</v>
      </c>
      <c r="X29">
        <f>SUM(7,9,19,4)</f>
        <v>39</v>
      </c>
      <c r="Y29">
        <f>SUM(V29,W29,X29)</f>
        <v>66</v>
      </c>
      <c r="Z29" s="3">
        <f>V29/Y29</f>
        <v>1.5151515151515152E-2</v>
      </c>
      <c r="AA29" s="3">
        <f>W29/Y29</f>
        <v>0.39393939393939392</v>
      </c>
      <c r="AB29" s="3">
        <f>X29/Y29</f>
        <v>0.59090909090909094</v>
      </c>
      <c r="AC29" s="4">
        <f>SUM(Z29:AB29)</f>
        <v>1</v>
      </c>
    </row>
    <row r="30" spans="1:32" x14ac:dyDescent="0.2">
      <c r="A30" s="2" t="s">
        <v>56</v>
      </c>
      <c r="B30">
        <f>SUM(18,17,14,17,17,18,21)</f>
        <v>122</v>
      </c>
      <c r="C30">
        <f>SUM(1,1,2,1,1,1,1,1,1,1,1,2,2)</f>
        <v>16</v>
      </c>
      <c r="D30">
        <f>SUM(1,2,1,2,1,1,1,1,1)</f>
        <v>11</v>
      </c>
      <c r="E30">
        <f>SUM(B30,C30,D30)</f>
        <v>149</v>
      </c>
      <c r="F30" s="3">
        <f>B30/E30</f>
        <v>0.81879194630872487</v>
      </c>
      <c r="G30" s="3">
        <f>C30/E30</f>
        <v>0.10738255033557047</v>
      </c>
      <c r="H30" s="3">
        <f>D30/E30</f>
        <v>7.3825503355704702E-2</v>
      </c>
      <c r="I30" s="4">
        <f>SUM(F30:H30)</f>
        <v>1</v>
      </c>
      <c r="U30" s="2" t="s">
        <v>56</v>
      </c>
      <c r="V30">
        <f>SUM(1)</f>
        <v>1</v>
      </c>
      <c r="W30">
        <f>SUM(12,9,7,7)</f>
        <v>35</v>
      </c>
      <c r="X30">
        <f>SUM(10,7,10,3)</f>
        <v>30</v>
      </c>
      <c r="Y30">
        <f>SUM(V30,W30,X30)</f>
        <v>66</v>
      </c>
      <c r="Z30" s="3">
        <f>V30/Y30</f>
        <v>1.5151515151515152E-2</v>
      </c>
      <c r="AA30" s="3">
        <f>W30/Y30</f>
        <v>0.53030303030303028</v>
      </c>
      <c r="AB30" s="3">
        <f>X30/Y30</f>
        <v>0.45454545454545453</v>
      </c>
      <c r="AC30" s="4">
        <f>SUM(Z30:AB30)</f>
        <v>1</v>
      </c>
    </row>
    <row r="31" spans="1:32" x14ac:dyDescent="0.2">
      <c r="A31" s="2" t="s">
        <v>57</v>
      </c>
      <c r="B31">
        <f>SUM(18,24,29,17,6)</f>
        <v>94</v>
      </c>
      <c r="C31">
        <f>SUM(2,2,2,2,2,1,2,1)</f>
        <v>14</v>
      </c>
      <c r="D31">
        <f>SUM(2,2,2,1,1,1)</f>
        <v>9</v>
      </c>
      <c r="E31">
        <f>SUM(B31,C31,D31)</f>
        <v>117</v>
      </c>
      <c r="F31" s="3">
        <f>B31/E31</f>
        <v>0.80341880341880345</v>
      </c>
      <c r="G31" s="3">
        <f>C31/E31</f>
        <v>0.11965811965811966</v>
      </c>
      <c r="H31" s="3">
        <f>D31/E31</f>
        <v>7.6923076923076927E-2</v>
      </c>
      <c r="I31" s="4">
        <f>SUM(F31:H31)</f>
        <v>1</v>
      </c>
      <c r="U31" s="2" t="s">
        <v>57</v>
      </c>
      <c r="V31">
        <f>SUM(5)</f>
        <v>5</v>
      </c>
      <c r="W31">
        <f>SUM(8,8,15)</f>
        <v>31</v>
      </c>
      <c r="X31">
        <f>SUM(11,17,19)</f>
        <v>47</v>
      </c>
      <c r="Y31">
        <f>SUM(V31,W31,X31)</f>
        <v>83</v>
      </c>
      <c r="Z31" s="3">
        <f>V31/Y31</f>
        <v>6.0240963855421686E-2</v>
      </c>
      <c r="AA31" s="3">
        <f>W31/Y31</f>
        <v>0.37349397590361444</v>
      </c>
      <c r="AB31" s="3">
        <f>X31/Y31</f>
        <v>0.5662650602409639</v>
      </c>
      <c r="AC31" s="4">
        <f>SUM(Z31:AB31)</f>
        <v>1</v>
      </c>
    </row>
    <row r="32" spans="1:32" x14ac:dyDescent="0.2">
      <c r="A32" s="2" t="s">
        <v>58</v>
      </c>
      <c r="B32">
        <f>SUM(19,21,25,8,19,29,23)</f>
        <v>144</v>
      </c>
      <c r="C32">
        <f>SUM(1,1,1,1,1,1,1,1,2,1,1,1,1)</f>
        <v>14</v>
      </c>
      <c r="D32">
        <f>SUM(2,1,2,3)</f>
        <v>8</v>
      </c>
      <c r="E32">
        <f>SUM(B32,C32,D32)</f>
        <v>166</v>
      </c>
      <c r="F32" s="3">
        <f>B32/E32</f>
        <v>0.86746987951807231</v>
      </c>
      <c r="G32" s="3">
        <f>C32/E32</f>
        <v>8.4337349397590355E-2</v>
      </c>
      <c r="H32" s="3">
        <f>D32/E32</f>
        <v>4.8192771084337352E-2</v>
      </c>
      <c r="I32" s="4">
        <f>SUM(F32:H32)</f>
        <v>1</v>
      </c>
      <c r="U32" s="2" t="s">
        <v>58</v>
      </c>
      <c r="V32">
        <f>SUM(1)</f>
        <v>1</v>
      </c>
      <c r="W32">
        <f>SUM(15,11,15)</f>
        <v>41</v>
      </c>
      <c r="X32">
        <f>SUM(11,9,15)</f>
        <v>35</v>
      </c>
      <c r="Y32">
        <f>SUM(V32,W32,X32)</f>
        <v>77</v>
      </c>
      <c r="Z32" s="3">
        <f>V32/Y32</f>
        <v>1.2987012987012988E-2</v>
      </c>
      <c r="AA32" s="3">
        <f>W32/Y32</f>
        <v>0.53246753246753242</v>
      </c>
      <c r="AB32" s="3">
        <f>X32/Y32</f>
        <v>0.45454545454545453</v>
      </c>
      <c r="AC32" s="4">
        <f>SUM(Z32:AB32)</f>
        <v>1</v>
      </c>
    </row>
    <row r="33" spans="1:32" x14ac:dyDescent="0.2">
      <c r="A33" s="6" t="s">
        <v>17</v>
      </c>
      <c r="B33">
        <f>SUM(B28:B32)</f>
        <v>639</v>
      </c>
      <c r="C33">
        <f>SUM(C28:C32)</f>
        <v>80</v>
      </c>
      <c r="D33">
        <f>SUM(D28:D32)</f>
        <v>41</v>
      </c>
      <c r="E33">
        <f>SUM(E28:E32)</f>
        <v>760</v>
      </c>
      <c r="F33" s="5">
        <f>AVERAGE(F28:F32)</f>
        <v>0.83785784796262308</v>
      </c>
      <c r="G33" s="5">
        <f>AVERAGE(G28:G32)</f>
        <v>0.10644239599025369</v>
      </c>
      <c r="H33" s="5">
        <f>AVERAGE(H28:H32)</f>
        <v>5.5699756047123274E-2</v>
      </c>
      <c r="U33" s="6" t="s">
        <v>17</v>
      </c>
      <c r="V33">
        <f>SUM(V28:V32)</f>
        <v>14</v>
      </c>
      <c r="W33">
        <f>SUM(W28:W32)</f>
        <v>182</v>
      </c>
      <c r="X33">
        <f>SUM(X28:X32)</f>
        <v>192</v>
      </c>
      <c r="Y33">
        <f>SUM(Y28:Y32)</f>
        <v>388</v>
      </c>
      <c r="Z33" s="5">
        <f>AVERAGE(Z28:Z32)</f>
        <v>3.3206201429092995E-2</v>
      </c>
      <c r="AA33" s="5">
        <f>AVERAGE(AA28:AA32)</f>
        <v>0.46812411985604757</v>
      </c>
      <c r="AB33" s="5">
        <f>AVERAGE(AB28:AB32)</f>
        <v>0.49866967871485945</v>
      </c>
    </row>
    <row r="34" spans="1:32" x14ac:dyDescent="0.2">
      <c r="A34" s="7" t="s">
        <v>18</v>
      </c>
      <c r="F34" s="8">
        <f>STDEV(F28:F32)</f>
        <v>2.654982664555924E-2</v>
      </c>
      <c r="G34" s="8">
        <f>STDEV(G28:G32)</f>
        <v>1.3858940280167003E-2</v>
      </c>
      <c r="H34" s="8">
        <f>STDEV(H28:H32)</f>
        <v>1.8342273065086828E-2</v>
      </c>
      <c r="U34" s="7" t="s">
        <v>18</v>
      </c>
      <c r="Z34" s="8">
        <f>STDEV(Z28:Z32)</f>
        <v>2.5737929154172279E-2</v>
      </c>
      <c r="AA34" s="8">
        <f>STDEV(AA28:AA32)</f>
        <v>7.7867176766563836E-2</v>
      </c>
      <c r="AB34" s="8">
        <f>STDEV(AB28:AB32)</f>
        <v>7.4323186031991048E-2</v>
      </c>
    </row>
    <row r="35" spans="1:32" x14ac:dyDescent="0.2">
      <c r="A35" s="7" t="s">
        <v>19</v>
      </c>
      <c r="F35" s="8">
        <f>F34/SQRT(5)</f>
        <v>1.1873443434061135E-2</v>
      </c>
      <c r="G35" s="8">
        <f>G34/SQRT(5)</f>
        <v>6.1979065125126794E-3</v>
      </c>
      <c r="H35" s="8">
        <f>H34/SQRT(5)</f>
        <v>8.2029138870795132E-3</v>
      </c>
      <c r="U35" s="7" t="s">
        <v>19</v>
      </c>
      <c r="Z35" s="8">
        <f>Z34/SQRT(5)</f>
        <v>1.1510351837760575E-2</v>
      </c>
      <c r="AA35" s="8">
        <f>AA34/SQRT(5)</f>
        <v>3.4823260093205799E-2</v>
      </c>
      <c r="AB35" s="8">
        <f>AB34/SQRT(5)</f>
        <v>3.3238339254378968E-2</v>
      </c>
    </row>
    <row r="39" spans="1:32" x14ac:dyDescent="0.2">
      <c r="A39" s="1" t="s">
        <v>40</v>
      </c>
      <c r="U39" s="1" t="s">
        <v>61</v>
      </c>
      <c r="V39" s="1" t="s">
        <v>2</v>
      </c>
      <c r="W39" s="1" t="s">
        <v>3</v>
      </c>
      <c r="X39" s="1" t="s">
        <v>4</v>
      </c>
      <c r="Y39" s="1" t="s">
        <v>5</v>
      </c>
      <c r="Z39" s="1" t="s">
        <v>6</v>
      </c>
      <c r="AA39" s="1" t="s">
        <v>7</v>
      </c>
      <c r="AB39" s="1" t="s">
        <v>8</v>
      </c>
      <c r="AC39" s="1" t="s">
        <v>9</v>
      </c>
      <c r="AD39" s="1" t="s">
        <v>2</v>
      </c>
      <c r="AE39" s="1" t="s">
        <v>10</v>
      </c>
      <c r="AF39" s="1" t="s">
        <v>11</v>
      </c>
    </row>
    <row r="40" spans="1:32" x14ac:dyDescent="0.2">
      <c r="C40" t="s">
        <v>59</v>
      </c>
      <c r="I40" t="s">
        <v>59</v>
      </c>
      <c r="U40" s="2" t="s">
        <v>62</v>
      </c>
      <c r="V40">
        <f>SUM(1)</f>
        <v>1</v>
      </c>
      <c r="W40">
        <f>SUM(7,14,13)</f>
        <v>34</v>
      </c>
      <c r="X40">
        <f>SUM(11,19,15,12)</f>
        <v>57</v>
      </c>
      <c r="Y40">
        <f>SUM(V40,W40,X40)</f>
        <v>92</v>
      </c>
      <c r="Z40" s="3">
        <f>V40/Y40</f>
        <v>1.0869565217391304E-2</v>
      </c>
      <c r="AA40" s="3">
        <f>W40/Y40</f>
        <v>0.36956521739130432</v>
      </c>
      <c r="AB40" s="3">
        <f>X40/Y40</f>
        <v>0.61956521739130432</v>
      </c>
      <c r="AC40" s="4">
        <f>SUM(Z40:AB40)</f>
        <v>1</v>
      </c>
      <c r="AD40" s="5">
        <f>Z45</f>
        <v>2.817525687863448E-2</v>
      </c>
      <c r="AE40" s="5">
        <f>AA45</f>
        <v>0.37655157557589936</v>
      </c>
      <c r="AF40" s="5">
        <f>AB45</f>
        <v>0.59527316754546622</v>
      </c>
    </row>
    <row r="41" spans="1:32" x14ac:dyDescent="0.2">
      <c r="B41" s="1" t="s">
        <v>2</v>
      </c>
      <c r="C41" s="1" t="s">
        <v>10</v>
      </c>
      <c r="D41" s="1" t="s">
        <v>11</v>
      </c>
      <c r="E41" t="s">
        <v>38</v>
      </c>
      <c r="H41" s="1" t="s">
        <v>2</v>
      </c>
      <c r="I41" s="1" t="s">
        <v>10</v>
      </c>
      <c r="J41" s="1" t="s">
        <v>11</v>
      </c>
      <c r="K41" t="s">
        <v>38</v>
      </c>
      <c r="U41" s="2" t="s">
        <v>63</v>
      </c>
      <c r="V41">
        <f>SUM(1)</f>
        <v>1</v>
      </c>
      <c r="W41">
        <f>SUM(9,9,10)</f>
        <v>28</v>
      </c>
      <c r="X41">
        <f>SUM(23,15,9,10)</f>
        <v>57</v>
      </c>
      <c r="Y41">
        <f>SUM(V41,W41,X41)</f>
        <v>86</v>
      </c>
      <c r="Z41" s="3">
        <f>V41/Y41</f>
        <v>1.1627906976744186E-2</v>
      </c>
      <c r="AA41" s="3">
        <f>W41/Y41</f>
        <v>0.32558139534883723</v>
      </c>
      <c r="AB41" s="3">
        <f>X41/Y41</f>
        <v>0.66279069767441856</v>
      </c>
      <c r="AC41" s="4">
        <f>SUM(Z41:AB41)</f>
        <v>1</v>
      </c>
    </row>
    <row r="42" spans="1:32" x14ac:dyDescent="0.2">
      <c r="A42" s="1" t="s">
        <v>1</v>
      </c>
      <c r="B42" s="9">
        <v>762</v>
      </c>
      <c r="C42" s="9">
        <v>56</v>
      </c>
      <c r="D42" s="9">
        <v>33</v>
      </c>
      <c r="E42" s="9">
        <f>SUM(B42:D42)</f>
        <v>851</v>
      </c>
      <c r="G42" s="1" t="s">
        <v>1</v>
      </c>
      <c r="H42" s="9">
        <v>762</v>
      </c>
      <c r="I42" s="9">
        <v>56</v>
      </c>
      <c r="J42" s="9">
        <v>33</v>
      </c>
      <c r="K42" s="9">
        <f>SUM(H42:J42)</f>
        <v>851</v>
      </c>
      <c r="U42" s="2" t="s">
        <v>64</v>
      </c>
      <c r="V42">
        <f>SUM(1)</f>
        <v>1</v>
      </c>
      <c r="W42">
        <f>SUM(12,14,10)</f>
        <v>36</v>
      </c>
      <c r="X42">
        <f>SUM(19,18,15)</f>
        <v>52</v>
      </c>
      <c r="Y42">
        <f>SUM(V42,W42,X42)</f>
        <v>89</v>
      </c>
      <c r="Z42" s="3">
        <f>V42/Y42</f>
        <v>1.1235955056179775E-2</v>
      </c>
      <c r="AA42" s="3">
        <f>W42/Y42</f>
        <v>0.4044943820224719</v>
      </c>
      <c r="AB42" s="3">
        <f>X42/Y42</f>
        <v>0.5842696629213483</v>
      </c>
      <c r="AC42" s="4">
        <f>SUM(Z42:AB42)</f>
        <v>1</v>
      </c>
    </row>
    <row r="43" spans="1:32" x14ac:dyDescent="0.2">
      <c r="A43" s="1" t="s">
        <v>47</v>
      </c>
      <c r="B43" s="9">
        <v>854</v>
      </c>
      <c r="C43" s="9">
        <v>64</v>
      </c>
      <c r="D43" s="9">
        <v>26</v>
      </c>
      <c r="E43" s="9">
        <f>SUM(B43:D43)</f>
        <v>944</v>
      </c>
      <c r="G43" s="1" t="s">
        <v>53</v>
      </c>
      <c r="H43">
        <v>639</v>
      </c>
      <c r="I43">
        <v>80</v>
      </c>
      <c r="J43">
        <v>41</v>
      </c>
      <c r="K43" s="9">
        <f>SUM(H43:J43)</f>
        <v>760</v>
      </c>
      <c r="U43" s="2" t="s">
        <v>65</v>
      </c>
      <c r="V43">
        <f>SUM(6,3)</f>
        <v>9</v>
      </c>
      <c r="W43">
        <f>SUM(12,8,16)</f>
        <v>36</v>
      </c>
      <c r="X43">
        <f>SUM(16,12,11)</f>
        <v>39</v>
      </c>
      <c r="Y43">
        <f>SUM(V43,W43,X43)</f>
        <v>84</v>
      </c>
      <c r="Z43" s="3">
        <f>V43/Y43</f>
        <v>0.10714285714285714</v>
      </c>
      <c r="AA43" s="3">
        <f>W43/Y43</f>
        <v>0.42857142857142855</v>
      </c>
      <c r="AB43" s="3">
        <f>X43/Y43</f>
        <v>0.4642857142857143</v>
      </c>
      <c r="AC43" s="4">
        <f>SUM(Z43:AB43)</f>
        <v>1</v>
      </c>
    </row>
    <row r="44" spans="1:32" x14ac:dyDescent="0.2">
      <c r="A44" s="1" t="s">
        <v>38</v>
      </c>
      <c r="B44" s="9">
        <f>SUM(B42:B43)</f>
        <v>1616</v>
      </c>
      <c r="C44" s="9">
        <f>SUM(C42:C43)</f>
        <v>120</v>
      </c>
      <c r="D44" s="9">
        <f>SUM(D42:D43)</f>
        <v>59</v>
      </c>
      <c r="E44" s="9">
        <f>SUM(B44:D44)</f>
        <v>1795</v>
      </c>
      <c r="G44" s="1" t="s">
        <v>38</v>
      </c>
      <c r="H44">
        <f>SUM(H42:H43)</f>
        <v>1401</v>
      </c>
      <c r="I44">
        <f>SUM(I42:I43)</f>
        <v>136</v>
      </c>
      <c r="J44">
        <f>SUM(J42:J43)</f>
        <v>74</v>
      </c>
      <c r="K44" s="9">
        <f>SUM(H44:J44)</f>
        <v>1611</v>
      </c>
      <c r="U44" s="2" t="s">
        <v>66</v>
      </c>
      <c r="V44">
        <v>0</v>
      </c>
      <c r="W44">
        <f>SUM(10,18,11)</f>
        <v>39</v>
      </c>
      <c r="X44">
        <f>SUM(20,24,12,15)</f>
        <v>71</v>
      </c>
      <c r="Y44">
        <f>SUM(V44,W44,X44)</f>
        <v>110</v>
      </c>
      <c r="Z44" s="3">
        <f>V44/Y44</f>
        <v>0</v>
      </c>
      <c r="AA44" s="3">
        <f>W44/Y44</f>
        <v>0.35454545454545455</v>
      </c>
      <c r="AB44" s="3">
        <f>X44/Y44</f>
        <v>0.6454545454545455</v>
      </c>
      <c r="AC44" s="4">
        <f>SUM(Z44:AB44)</f>
        <v>1</v>
      </c>
    </row>
    <row r="45" spans="1:32" x14ac:dyDescent="0.2">
      <c r="A45" s="1"/>
      <c r="B45" s="4"/>
      <c r="C45" s="4"/>
      <c r="D45" s="4"/>
      <c r="E45" s="4"/>
      <c r="U45" s="6" t="s">
        <v>17</v>
      </c>
      <c r="V45">
        <f>SUM(V40:V44)</f>
        <v>12</v>
      </c>
      <c r="W45">
        <f>SUM(W40:W44)</f>
        <v>173</v>
      </c>
      <c r="X45">
        <f>SUM(X40:X44)</f>
        <v>276</v>
      </c>
      <c r="Y45">
        <f>SUM(Y40:Y44)</f>
        <v>461</v>
      </c>
      <c r="Z45" s="5">
        <f>AVERAGE(Z40:Z44)</f>
        <v>2.817525687863448E-2</v>
      </c>
      <c r="AA45" s="5">
        <f>AVERAGE(AA40:AA44)</f>
        <v>0.37655157557589936</v>
      </c>
      <c r="AB45" s="5">
        <f>AVERAGE(AB40:AB44)</f>
        <v>0.59527316754546622</v>
      </c>
    </row>
    <row r="46" spans="1:32" x14ac:dyDescent="0.2">
      <c r="U46" s="7" t="s">
        <v>18</v>
      </c>
      <c r="Z46" s="8">
        <f>STDEV(Z40:Z44)</f>
        <v>4.4412747861815885E-2</v>
      </c>
      <c r="AA46" s="8">
        <f>STDEV(AA40:AA44)</f>
        <v>4.0675248535369517E-2</v>
      </c>
      <c r="AB46" s="8">
        <f>STDEV(AB40:AB44)</f>
        <v>7.8971009355916902E-2</v>
      </c>
    </row>
    <row r="47" spans="1:32" x14ac:dyDescent="0.2">
      <c r="U47" s="7" t="s">
        <v>19</v>
      </c>
      <c r="Z47" s="8">
        <f>Z46/SQRT(5)</f>
        <v>1.986198465731575E-2</v>
      </c>
      <c r="AA47" s="8">
        <f>AA46/SQRT(5)</f>
        <v>1.8190524145357E-2</v>
      </c>
      <c r="AB47" s="8">
        <f>AB46/SQRT(5)</f>
        <v>3.5316909034320415E-2</v>
      </c>
    </row>
    <row r="48" spans="1:32" x14ac:dyDescent="0.2">
      <c r="C48" t="s">
        <v>60</v>
      </c>
      <c r="I48" t="s">
        <v>60</v>
      </c>
    </row>
    <row r="49" spans="1:43" x14ac:dyDescent="0.2">
      <c r="B49" s="1" t="s">
        <v>2</v>
      </c>
      <c r="C49" s="1" t="s">
        <v>10</v>
      </c>
      <c r="D49" s="1" t="s">
        <v>11</v>
      </c>
      <c r="H49" s="1" t="s">
        <v>2</v>
      </c>
      <c r="I49" s="1" t="s">
        <v>10</v>
      </c>
      <c r="J49" s="1" t="s">
        <v>11</v>
      </c>
    </row>
    <row r="50" spans="1:43" x14ac:dyDescent="0.2">
      <c r="A50" s="1" t="s">
        <v>1</v>
      </c>
      <c r="B50">
        <f>(B44*E42)/E44</f>
        <v>766.13704735376041</v>
      </c>
      <c r="C50">
        <f>(C44*E42)/E44</f>
        <v>56.891364902506965</v>
      </c>
      <c r="D50">
        <f>(D44*E42)/E44</f>
        <v>27.971587743732591</v>
      </c>
      <c r="G50" s="1" t="s">
        <v>1</v>
      </c>
      <c r="H50">
        <f>(H44*K42)/K44</f>
        <v>740.06890130353815</v>
      </c>
      <c r="I50">
        <f>(I44*K42)/K44</f>
        <v>71.841092489137182</v>
      </c>
      <c r="J50">
        <f>(J44*K42)/K44</f>
        <v>39.090006207324642</v>
      </c>
    </row>
    <row r="51" spans="1:43" x14ac:dyDescent="0.2">
      <c r="A51" s="1" t="s">
        <v>47</v>
      </c>
      <c r="B51">
        <f>(B44*E43)/E44</f>
        <v>849.86295264623959</v>
      </c>
      <c r="C51">
        <f>(C44*E43)/E44</f>
        <v>63.108635097493035</v>
      </c>
      <c r="D51">
        <f>(D44*E43)/E44</f>
        <v>31.028412256267409</v>
      </c>
      <c r="G51" s="1" t="s">
        <v>53</v>
      </c>
      <c r="H51">
        <f>(H44*K43)/K44</f>
        <v>660.93109869646185</v>
      </c>
      <c r="I51">
        <f>(I44*K43)/K44</f>
        <v>64.158907510862818</v>
      </c>
      <c r="J51">
        <f>(J44*K43)/K44</f>
        <v>34.909993792675358</v>
      </c>
    </row>
    <row r="52" spans="1:43" x14ac:dyDescent="0.2">
      <c r="A52" s="1"/>
      <c r="G52" s="1"/>
      <c r="U52" s="1" t="s">
        <v>40</v>
      </c>
    </row>
    <row r="53" spans="1:43" x14ac:dyDescent="0.2">
      <c r="W53" t="s">
        <v>37</v>
      </c>
      <c r="AC53" t="s">
        <v>37</v>
      </c>
      <c r="AI53" t="s">
        <v>37</v>
      </c>
    </row>
    <row r="54" spans="1:43" x14ac:dyDescent="0.2">
      <c r="A54" s="1">
        <f>_xlfn.CHISQ.TEST(B42:D43,B50:D51)</f>
        <v>0.40904086187645344</v>
      </c>
      <c r="G54" s="1">
        <f>_xlfn.CHISQ.TEST(H42:J43,H50:J51)</f>
        <v>4.5323568156269249E-3</v>
      </c>
      <c r="V54" s="1" t="s">
        <v>2</v>
      </c>
      <c r="W54" s="1" t="s">
        <v>10</v>
      </c>
      <c r="X54" s="1" t="s">
        <v>11</v>
      </c>
      <c r="Y54" s="1" t="s">
        <v>38</v>
      </c>
      <c r="AB54" s="1" t="s">
        <v>2</v>
      </c>
      <c r="AC54" s="1" t="s">
        <v>10</v>
      </c>
      <c r="AD54" s="1" t="s">
        <v>11</v>
      </c>
      <c r="AE54" s="1" t="s">
        <v>38</v>
      </c>
      <c r="AH54" s="1" t="s">
        <v>2</v>
      </c>
      <c r="AI54" s="1" t="s">
        <v>10</v>
      </c>
      <c r="AJ54" s="1" t="s">
        <v>11</v>
      </c>
      <c r="AK54" s="1" t="s">
        <v>38</v>
      </c>
      <c r="AN54" s="1"/>
      <c r="AO54" s="1"/>
      <c r="AP54" s="1"/>
      <c r="AQ54" s="1"/>
    </row>
    <row r="55" spans="1:43" x14ac:dyDescent="0.2">
      <c r="U55" s="1" t="s">
        <v>1</v>
      </c>
      <c r="V55">
        <v>454</v>
      </c>
      <c r="W55">
        <v>29</v>
      </c>
      <c r="X55">
        <v>8</v>
      </c>
      <c r="Y55">
        <f>SUM(V55:X55)</f>
        <v>491</v>
      </c>
      <c r="AA55" s="1" t="s">
        <v>1</v>
      </c>
      <c r="AB55">
        <v>454</v>
      </c>
      <c r="AC55">
        <v>29</v>
      </c>
      <c r="AD55">
        <v>8</v>
      </c>
      <c r="AE55">
        <f>SUM(AB55:AD55)</f>
        <v>491</v>
      </c>
      <c r="AG55" s="1" t="s">
        <v>1</v>
      </c>
      <c r="AH55">
        <v>454</v>
      </c>
      <c r="AI55">
        <v>29</v>
      </c>
      <c r="AJ55">
        <v>8</v>
      </c>
      <c r="AK55">
        <f>SUM(AH55:AJ55)</f>
        <v>491</v>
      </c>
      <c r="AM55" s="1"/>
    </row>
    <row r="56" spans="1:43" x14ac:dyDescent="0.2">
      <c r="U56" s="1" t="s">
        <v>47</v>
      </c>
      <c r="V56">
        <v>441</v>
      </c>
      <c r="W56">
        <v>40</v>
      </c>
      <c r="X56">
        <v>18</v>
      </c>
      <c r="Y56">
        <f>SUM(V56:X56)</f>
        <v>499</v>
      </c>
      <c r="AA56" s="1" t="s">
        <v>53</v>
      </c>
      <c r="AB56">
        <v>14</v>
      </c>
      <c r="AC56">
        <v>182</v>
      </c>
      <c r="AD56">
        <v>192</v>
      </c>
      <c r="AE56">
        <f>SUM(AB56:AD56)</f>
        <v>388</v>
      </c>
      <c r="AG56" s="1" t="s">
        <v>61</v>
      </c>
      <c r="AH56">
        <v>12</v>
      </c>
      <c r="AI56">
        <v>173</v>
      </c>
      <c r="AJ56">
        <v>276</v>
      </c>
      <c r="AK56">
        <f>SUM(AH56:AJ56)</f>
        <v>461</v>
      </c>
      <c r="AM56" s="1"/>
    </row>
    <row r="57" spans="1:43" x14ac:dyDescent="0.2">
      <c r="U57" s="1" t="s">
        <v>38</v>
      </c>
      <c r="V57">
        <f>SUM(V55:V56)</f>
        <v>895</v>
      </c>
      <c r="W57">
        <f>SUM(W55:W56)</f>
        <v>69</v>
      </c>
      <c r="X57">
        <f>SUM(X55:X56)</f>
        <v>26</v>
      </c>
      <c r="Y57">
        <f>SUM(V57:X57)</f>
        <v>990</v>
      </c>
      <c r="AA57" t="s">
        <v>38</v>
      </c>
      <c r="AB57">
        <f>SUM(AB55:AB56)</f>
        <v>468</v>
      </c>
      <c r="AC57">
        <f>SUM(AC55:AC56)</f>
        <v>211</v>
      </c>
      <c r="AD57">
        <f>SUM(AD55:AD56)</f>
        <v>200</v>
      </c>
      <c r="AE57">
        <f>SUM(AB57:AD57)</f>
        <v>879</v>
      </c>
      <c r="AG57" s="1" t="s">
        <v>38</v>
      </c>
      <c r="AH57">
        <f>SUM(AH55:AH56)</f>
        <v>466</v>
      </c>
      <c r="AI57">
        <f>SUM(AI55:AI56)</f>
        <v>202</v>
      </c>
      <c r="AJ57">
        <f>SUM(AJ55:AJ56)</f>
        <v>284</v>
      </c>
      <c r="AK57">
        <f>SUM(AK55:AK56)</f>
        <v>952</v>
      </c>
      <c r="AM57" s="1"/>
    </row>
    <row r="58" spans="1:43" x14ac:dyDescent="0.2">
      <c r="U58" s="1"/>
      <c r="AA58" s="1"/>
      <c r="AB58" s="4"/>
      <c r="AC58" s="4"/>
      <c r="AD58" s="4"/>
    </row>
    <row r="60" spans="1:43" x14ac:dyDescent="0.2">
      <c r="W60" t="s">
        <v>39</v>
      </c>
      <c r="AC60" t="s">
        <v>39</v>
      </c>
      <c r="AI60" t="s">
        <v>39</v>
      </c>
    </row>
    <row r="61" spans="1:43" x14ac:dyDescent="0.2">
      <c r="V61" s="1" t="s">
        <v>2</v>
      </c>
      <c r="W61" s="1" t="s">
        <v>10</v>
      </c>
      <c r="X61" s="1" t="s">
        <v>11</v>
      </c>
      <c r="Y61" s="1" t="s">
        <v>38</v>
      </c>
      <c r="AB61" s="1" t="s">
        <v>2</v>
      </c>
      <c r="AC61" s="1" t="s">
        <v>10</v>
      </c>
      <c r="AD61" s="1" t="s">
        <v>11</v>
      </c>
      <c r="AE61" s="1" t="s">
        <v>38</v>
      </c>
      <c r="AH61" s="1" t="s">
        <v>2</v>
      </c>
      <c r="AI61" s="1" t="s">
        <v>10</v>
      </c>
      <c r="AJ61" s="1" t="s">
        <v>11</v>
      </c>
      <c r="AK61" s="1" t="s">
        <v>38</v>
      </c>
      <c r="AN61" s="1"/>
      <c r="AO61" s="1"/>
      <c r="AP61" s="1"/>
    </row>
    <row r="62" spans="1:43" x14ac:dyDescent="0.2">
      <c r="U62" s="1" t="s">
        <v>1</v>
      </c>
      <c r="V62">
        <f>(V57*Y55)/Y57</f>
        <v>443.88383838383839</v>
      </c>
      <c r="W62">
        <f>(W57*Y55)/Y57</f>
        <v>34.221212121212119</v>
      </c>
      <c r="X62">
        <f>(X57*Y55)/Y57</f>
        <v>12.894949494949495</v>
      </c>
      <c r="Y62" s="4"/>
      <c r="AA62" s="1" t="s">
        <v>1</v>
      </c>
      <c r="AB62">
        <f>(AB57*AE55)/AE57</f>
        <v>261.419795221843</v>
      </c>
      <c r="AC62">
        <f>(AC57*AE55)/AE57</f>
        <v>117.86234357224119</v>
      </c>
      <c r="AD62">
        <f>(AD57*AE55)/AE57</f>
        <v>111.71786120591581</v>
      </c>
      <c r="AG62" s="1" t="s">
        <v>1</v>
      </c>
      <c r="AH62">
        <f>(AH57*AK55)/AK57</f>
        <v>240.3424369747899</v>
      </c>
      <c r="AI62">
        <f>(AI57*AK55)/AK57</f>
        <v>104.1827731092437</v>
      </c>
      <c r="AJ62">
        <f>(AJ57*AK55)/AK57</f>
        <v>146.4747899159664</v>
      </c>
      <c r="AM62" s="1"/>
    </row>
    <row r="63" spans="1:43" x14ac:dyDescent="0.2">
      <c r="U63" s="1" t="s">
        <v>47</v>
      </c>
      <c r="V63">
        <f>(V57*Y56)/Y57</f>
        <v>451.11616161616161</v>
      </c>
      <c r="W63">
        <f>(W57*Y56)/Y57</f>
        <v>34.778787878787881</v>
      </c>
      <c r="X63">
        <f>(X57*Y56)/Y57</f>
        <v>13.105050505050505</v>
      </c>
      <c r="Y63" s="4"/>
      <c r="AA63" s="1" t="s">
        <v>53</v>
      </c>
      <c r="AB63">
        <f>(AB57*AE56)/AE57</f>
        <v>206.580204778157</v>
      </c>
      <c r="AC63">
        <f>(AC57*AE56)/AE57</f>
        <v>93.137656427758813</v>
      </c>
      <c r="AD63">
        <f>(AD57*AE56)/AE57</f>
        <v>88.28213879408419</v>
      </c>
      <c r="AG63" s="1" t="s">
        <v>61</v>
      </c>
      <c r="AH63">
        <f>(AH57*AK56)/AK57</f>
        <v>225.6575630252101</v>
      </c>
      <c r="AI63">
        <f>(AI57*AK56)/AK57</f>
        <v>97.817226890756302</v>
      </c>
      <c r="AJ63">
        <f>(AJ57*AK56)/AK57</f>
        <v>137.5252100840336</v>
      </c>
      <c r="AM63" s="1"/>
    </row>
    <row r="64" spans="1:43" x14ac:dyDescent="0.2">
      <c r="U64" s="1"/>
      <c r="V64" s="4"/>
      <c r="W64" s="4"/>
      <c r="X64" s="4"/>
      <c r="Y64" s="4"/>
      <c r="AB64" s="4"/>
      <c r="AC64" s="4"/>
      <c r="AD64" s="4"/>
      <c r="AE64" s="4"/>
      <c r="AG64" s="1"/>
    </row>
    <row r="65" spans="21:33" x14ac:dyDescent="0.2">
      <c r="U65">
        <f>_xlfn.CHISQ.TEST(V55:X56,V62:X63)</f>
        <v>5.7144873766230821E-2</v>
      </c>
      <c r="AA65">
        <f>_xlfn.CHISQ.TEST(AB55:AD56,AB62:AD63)</f>
        <v>7.6115719405139358E-151</v>
      </c>
      <c r="AG65">
        <f>_xlfn.CHISQ.TEST(AH55:AJ56,AH62:AJ63)</f>
        <v>6.2307316022868868E-169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d</vt:lpstr>
      <vt:lpstr>Panel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2024-09-18T18:18:04Z</dcterms:created>
  <dcterms:modified xsi:type="dcterms:W3CDTF">2024-09-18T18:30:08Z</dcterms:modified>
</cp:coreProperties>
</file>