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bidis1/Documents/Lab stuff/Projects/Sebocyte project/Manuscript/eLife/For VOR/"/>
    </mc:Choice>
  </mc:AlternateContent>
  <xr:revisionPtr revIDLastSave="0" documentId="13_ncr:1_{05462712-7D80-104D-B17B-07594A5CB61A}" xr6:coauthVersionLast="47" xr6:coauthVersionMax="47" xr10:uidLastSave="{00000000-0000-0000-0000-000000000000}"/>
  <bookViews>
    <workbookView xWindow="26980" yWindow="6100" windowWidth="27640" windowHeight="16940" activeTab="3" xr2:uid="{7C35E652-E48C-FD4A-A396-9A11FA407E00}"/>
  </bookViews>
  <sheets>
    <sheet name="Panel b" sheetId="1" r:id="rId1"/>
    <sheet name="Panel e" sheetId="2" r:id="rId2"/>
    <sheet name="Panel h" sheetId="3" r:id="rId3"/>
    <sheet name="Panel k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4" l="1"/>
  <c r="D30" i="4" s="1"/>
  <c r="B29" i="4"/>
  <c r="B30" i="4" s="1"/>
  <c r="L26" i="4"/>
  <c r="L27" i="4"/>
  <c r="L28" i="4" s="1"/>
  <c r="L30" i="4"/>
  <c r="L31" i="4" s="1"/>
  <c r="I14" i="4"/>
  <c r="I15" i="4" s="1"/>
  <c r="I13" i="4"/>
  <c r="E22" i="4"/>
  <c r="E23" i="4" s="1"/>
  <c r="E21" i="4"/>
  <c r="B16" i="4"/>
  <c r="B17" i="4" s="1"/>
  <c r="B15" i="4"/>
  <c r="P38" i="3"/>
  <c r="P39" i="3" s="1"/>
  <c r="L28" i="3"/>
  <c r="L29" i="3" s="1"/>
  <c r="P34" i="3"/>
  <c r="P35" i="3" s="1"/>
  <c r="P33" i="3"/>
  <c r="L24" i="3"/>
  <c r="L25" i="3" s="1"/>
  <c r="L23" i="3"/>
  <c r="G27" i="3"/>
  <c r="G28" i="3" s="1"/>
  <c r="G26" i="3"/>
  <c r="B23" i="3"/>
  <c r="B24" i="3" s="1"/>
  <c r="B22" i="3"/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3" i="2"/>
  <c r="I18" i="2" s="1"/>
  <c r="D4" i="2"/>
  <c r="D5" i="2"/>
  <c r="D6" i="2"/>
  <c r="D7" i="2"/>
  <c r="D8" i="2"/>
  <c r="D9" i="2"/>
  <c r="D10" i="2"/>
  <c r="D11" i="2"/>
  <c r="D12" i="2"/>
  <c r="D13" i="2"/>
  <c r="D14" i="2"/>
  <c r="D15" i="2"/>
  <c r="D3" i="2"/>
  <c r="S26" i="2"/>
  <c r="S27" i="2" s="1"/>
  <c r="R26" i="2"/>
  <c r="R27" i="2" s="1"/>
  <c r="S25" i="2"/>
  <c r="R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N17" i="2"/>
  <c r="N18" i="2" s="1"/>
  <c r="M17" i="2"/>
  <c r="M18" i="2" s="1"/>
  <c r="N16" i="2"/>
  <c r="M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M22" i="2" s="1"/>
  <c r="M23" i="2" s="1"/>
  <c r="P59" i="1"/>
  <c r="O59" i="1"/>
  <c r="N59" i="1"/>
  <c r="J59" i="1"/>
  <c r="I59" i="1"/>
  <c r="H59" i="1"/>
  <c r="E59" i="1"/>
  <c r="C64" i="1" s="1"/>
  <c r="D59" i="1"/>
  <c r="C59" i="1"/>
  <c r="B59" i="1"/>
  <c r="Q58" i="1"/>
  <c r="K58" i="1"/>
  <c r="E58" i="1"/>
  <c r="Q57" i="1"/>
  <c r="Q59" i="1" s="1"/>
  <c r="N65" i="1" s="1"/>
  <c r="K57" i="1"/>
  <c r="E57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2" i="1"/>
  <c r="C32" i="1"/>
  <c r="B32" i="1"/>
  <c r="D31" i="1"/>
  <c r="C31" i="1"/>
  <c r="B31" i="1"/>
  <c r="D30" i="1"/>
  <c r="C30" i="1"/>
  <c r="B30" i="1"/>
  <c r="E30" i="1" s="1"/>
  <c r="G30" i="1" s="1"/>
  <c r="D29" i="1"/>
  <c r="C29" i="1"/>
  <c r="B29" i="1"/>
  <c r="B33" i="1" s="1"/>
  <c r="D28" i="1"/>
  <c r="C28" i="1"/>
  <c r="B28" i="1"/>
  <c r="D20" i="1"/>
  <c r="C20" i="1"/>
  <c r="B20" i="1"/>
  <c r="E20" i="1" s="1"/>
  <c r="G20" i="1" s="1"/>
  <c r="D19" i="1"/>
  <c r="C19" i="1"/>
  <c r="B19" i="1"/>
  <c r="D18" i="1"/>
  <c r="C18" i="1"/>
  <c r="B18" i="1"/>
  <c r="D17" i="1"/>
  <c r="C17" i="1"/>
  <c r="B17" i="1"/>
  <c r="D16" i="1"/>
  <c r="C16" i="1"/>
  <c r="B16" i="1"/>
  <c r="D9" i="1"/>
  <c r="D8" i="1"/>
  <c r="C8" i="1"/>
  <c r="B8" i="1"/>
  <c r="D7" i="1"/>
  <c r="C7" i="1"/>
  <c r="B7" i="1"/>
  <c r="D6" i="1"/>
  <c r="C6" i="1"/>
  <c r="B6" i="1"/>
  <c r="D5" i="1"/>
  <c r="C5" i="1"/>
  <c r="B5" i="1"/>
  <c r="E5" i="1" s="1"/>
  <c r="F5" i="1" s="1"/>
  <c r="D4" i="1"/>
  <c r="C4" i="1"/>
  <c r="C9" i="1" s="1"/>
  <c r="B4" i="1"/>
  <c r="E29" i="1" l="1"/>
  <c r="F29" i="1" s="1"/>
  <c r="D64" i="1"/>
  <c r="B45" i="1"/>
  <c r="E19" i="1"/>
  <c r="F19" i="1" s="1"/>
  <c r="B9" i="1"/>
  <c r="D21" i="1"/>
  <c r="D65" i="1"/>
  <c r="D45" i="1"/>
  <c r="B64" i="1"/>
  <c r="C65" i="1"/>
  <c r="R30" i="2"/>
  <c r="R31" i="2" s="1"/>
  <c r="E28" i="1"/>
  <c r="I19" i="2"/>
  <c r="I20" i="2" s="1"/>
  <c r="D16" i="2"/>
  <c r="O16" i="2"/>
  <c r="D17" i="2"/>
  <c r="D18" i="2" s="1"/>
  <c r="T26" i="2"/>
  <c r="T27" i="2" s="1"/>
  <c r="T25" i="2"/>
  <c r="O17" i="2"/>
  <c r="O18" i="2" s="1"/>
  <c r="I64" i="1"/>
  <c r="O64" i="1"/>
  <c r="N64" i="1"/>
  <c r="P64" i="1"/>
  <c r="O65" i="1"/>
  <c r="K59" i="1"/>
  <c r="H64" i="1" s="1"/>
  <c r="P65" i="1"/>
  <c r="I65" i="1"/>
  <c r="B65" i="1"/>
  <c r="G28" i="1"/>
  <c r="F28" i="1"/>
  <c r="H29" i="1"/>
  <c r="F40" i="1"/>
  <c r="G43" i="1"/>
  <c r="H19" i="1"/>
  <c r="I19" i="1" s="1"/>
  <c r="G8" i="1"/>
  <c r="F18" i="1"/>
  <c r="H8" i="1"/>
  <c r="G18" i="1"/>
  <c r="F20" i="1"/>
  <c r="I20" i="1" s="1"/>
  <c r="E44" i="1"/>
  <c r="F44" i="1" s="1"/>
  <c r="H5" i="1"/>
  <c r="E8" i="1"/>
  <c r="F8" i="1" s="1"/>
  <c r="E18" i="1"/>
  <c r="H18" i="1" s="1"/>
  <c r="G19" i="1"/>
  <c r="H28" i="1"/>
  <c r="G29" i="1"/>
  <c r="I29" i="1" s="1"/>
  <c r="E43" i="1"/>
  <c r="H43" i="1" s="1"/>
  <c r="C33" i="1"/>
  <c r="H20" i="1"/>
  <c r="D33" i="1"/>
  <c r="E16" i="1"/>
  <c r="B21" i="1"/>
  <c r="G5" i="1"/>
  <c r="I5" i="1" s="1"/>
  <c r="H30" i="1"/>
  <c r="E7" i="1"/>
  <c r="G7" i="1" s="1"/>
  <c r="E17" i="1"/>
  <c r="F17" i="1" s="1"/>
  <c r="C21" i="1"/>
  <c r="E6" i="1"/>
  <c r="F6" i="1" s="1"/>
  <c r="E31" i="1"/>
  <c r="E33" i="1" s="1"/>
  <c r="E41" i="1"/>
  <c r="C45" i="1"/>
  <c r="F30" i="1"/>
  <c r="E32" i="1"/>
  <c r="G32" i="1" s="1"/>
  <c r="E42" i="1"/>
  <c r="G42" i="1" s="1"/>
  <c r="E40" i="1"/>
  <c r="F42" i="1"/>
  <c r="E4" i="1"/>
  <c r="F43" i="1" l="1"/>
  <c r="F32" i="1"/>
  <c r="J65" i="1"/>
  <c r="J64" i="1"/>
  <c r="G67" i="1" s="1"/>
  <c r="H32" i="1"/>
  <c r="I32" i="1" s="1"/>
  <c r="E21" i="1"/>
  <c r="G17" i="1"/>
  <c r="H7" i="1"/>
  <c r="A67" i="1"/>
  <c r="H65" i="1"/>
  <c r="M67" i="1"/>
  <c r="H41" i="1"/>
  <c r="G41" i="1"/>
  <c r="F31" i="1"/>
  <c r="F16" i="1"/>
  <c r="E45" i="1"/>
  <c r="H40" i="1"/>
  <c r="H17" i="1"/>
  <c r="I17" i="1" s="1"/>
  <c r="G31" i="1"/>
  <c r="G33" i="1" s="1"/>
  <c r="K28" i="1" s="1"/>
  <c r="P6" i="1" s="1"/>
  <c r="H31" i="1"/>
  <c r="E9" i="1"/>
  <c r="G4" i="1"/>
  <c r="H4" i="1"/>
  <c r="F4" i="1"/>
  <c r="H44" i="1"/>
  <c r="H33" i="1"/>
  <c r="L28" i="1" s="1"/>
  <c r="Q6" i="1" s="1"/>
  <c r="H34" i="1"/>
  <c r="H35" i="1" s="1"/>
  <c r="F7" i="1"/>
  <c r="I7" i="1" s="1"/>
  <c r="I8" i="1"/>
  <c r="I28" i="1"/>
  <c r="H16" i="1"/>
  <c r="H42" i="1"/>
  <c r="I42" i="1" s="1"/>
  <c r="G16" i="1"/>
  <c r="I18" i="1"/>
  <c r="I43" i="1"/>
  <c r="I30" i="1"/>
  <c r="G44" i="1"/>
  <c r="I44" i="1" s="1"/>
  <c r="G6" i="1"/>
  <c r="H6" i="1"/>
  <c r="F41" i="1"/>
  <c r="F46" i="1" s="1"/>
  <c r="F47" i="1" s="1"/>
  <c r="G40" i="1"/>
  <c r="I40" i="1" s="1"/>
  <c r="G34" i="1" l="1"/>
  <c r="G35" i="1" s="1"/>
  <c r="F45" i="1"/>
  <c r="J40" i="1" s="1"/>
  <c r="O7" i="1" s="1"/>
  <c r="I6" i="1"/>
  <c r="G21" i="1"/>
  <c r="K16" i="1" s="1"/>
  <c r="P5" i="1" s="1"/>
  <c r="G22" i="1"/>
  <c r="G23" i="1" s="1"/>
  <c r="F10" i="1"/>
  <c r="F11" i="1" s="1"/>
  <c r="I4" i="1"/>
  <c r="F9" i="1"/>
  <c r="J4" i="1" s="1"/>
  <c r="O4" i="1" s="1"/>
  <c r="I31" i="1"/>
  <c r="H10" i="1"/>
  <c r="H11" i="1" s="1"/>
  <c r="H9" i="1"/>
  <c r="L4" i="1" s="1"/>
  <c r="Q4" i="1" s="1"/>
  <c r="F21" i="1"/>
  <c r="J16" i="1" s="1"/>
  <c r="O5" i="1" s="1"/>
  <c r="I16" i="1"/>
  <c r="F22" i="1"/>
  <c r="F23" i="1" s="1"/>
  <c r="F33" i="1"/>
  <c r="J28" i="1" s="1"/>
  <c r="O6" i="1" s="1"/>
  <c r="G10" i="1"/>
  <c r="G11" i="1" s="1"/>
  <c r="G9" i="1"/>
  <c r="K4" i="1" s="1"/>
  <c r="P4" i="1" s="1"/>
  <c r="G46" i="1"/>
  <c r="G47" i="1" s="1"/>
  <c r="G45" i="1"/>
  <c r="K40" i="1" s="1"/>
  <c r="P7" i="1" s="1"/>
  <c r="F34" i="1"/>
  <c r="F35" i="1" s="1"/>
  <c r="H46" i="1"/>
  <c r="H47" i="1" s="1"/>
  <c r="H45" i="1"/>
  <c r="L40" i="1" s="1"/>
  <c r="Q7" i="1" s="1"/>
  <c r="H21" i="1"/>
  <c r="L16" i="1" s="1"/>
  <c r="Q5" i="1" s="1"/>
  <c r="H22" i="1"/>
  <c r="H23" i="1" s="1"/>
  <c r="I41" i="1"/>
</calcChain>
</file>

<file path=xl/sharedStrings.xml><?xml version="1.0" encoding="utf-8"?>
<sst xmlns="http://schemas.openxmlformats.org/spreadsheetml/2006/main" count="215" uniqueCount="66">
  <si>
    <t>Day 14</t>
  </si>
  <si>
    <t>aRW</t>
  </si>
  <si>
    <t>Proper SG</t>
  </si>
  <si>
    <t>Mix of some sebocytes and some epithelial cells?</t>
  </si>
  <si>
    <t>Could not see any sebocytes</t>
  </si>
  <si>
    <t>Total</t>
  </si>
  <si>
    <t>proper SG %</t>
  </si>
  <si>
    <t>mixed SG %</t>
  </si>
  <si>
    <t>SG with only epithelial cells %</t>
  </si>
  <si>
    <t>Total %</t>
  </si>
  <si>
    <t>Mixed SG</t>
  </si>
  <si>
    <t>No sebocyte SG</t>
  </si>
  <si>
    <t>1-1</t>
  </si>
  <si>
    <t>1-2</t>
  </si>
  <si>
    <t>1-3</t>
  </si>
  <si>
    <t>1-4</t>
  </si>
  <si>
    <t>1-5</t>
  </si>
  <si>
    <t>Average</t>
  </si>
  <si>
    <t>stdev</t>
  </si>
  <si>
    <t>sem</t>
  </si>
  <si>
    <t>aJAG1</t>
  </si>
  <si>
    <t>2-6</t>
  </si>
  <si>
    <t>2-7</t>
  </si>
  <si>
    <t>2-8</t>
  </si>
  <si>
    <t>2-9</t>
  </si>
  <si>
    <t>2-10</t>
  </si>
  <si>
    <t>aJAG2</t>
  </si>
  <si>
    <t>3-11</t>
  </si>
  <si>
    <t>3-12</t>
  </si>
  <si>
    <t>3-13</t>
  </si>
  <si>
    <t>3-14</t>
  </si>
  <si>
    <t>3-15</t>
  </si>
  <si>
    <t>aJ1J2</t>
  </si>
  <si>
    <t>4-16</t>
  </si>
  <si>
    <t>4-17</t>
  </si>
  <si>
    <t>4-18</t>
  </si>
  <si>
    <t>4-19</t>
  </si>
  <si>
    <t>4-20</t>
  </si>
  <si>
    <t>observed</t>
  </si>
  <si>
    <t>total</t>
  </si>
  <si>
    <t>expected</t>
  </si>
  <si>
    <t>Chi square test</t>
  </si>
  <si>
    <t>aRW 7d</t>
  </si>
  <si>
    <t>#N1ICD/SG</t>
  </si>
  <si>
    <t>total scs</t>
  </si>
  <si>
    <t>%</t>
  </si>
  <si>
    <t>avg</t>
  </si>
  <si>
    <t>std</t>
  </si>
  <si>
    <t>aJ2 7d</t>
  </si>
  <si>
    <t>t.test</t>
  </si>
  <si>
    <t>tdist</t>
  </si>
  <si>
    <t>aRW 3d</t>
  </si>
  <si>
    <t>total basal cells</t>
  </si>
  <si>
    <t>N1ICD+ve</t>
  </si>
  <si>
    <t>N1ICD%</t>
  </si>
  <si>
    <t>aJ2 3d</t>
  </si>
  <si>
    <t>7d</t>
  </si>
  <si>
    <t>sebocytes expressing mature markers</t>
  </si>
  <si>
    <t>aJ2</t>
  </si>
  <si>
    <t>14d</t>
  </si>
  <si>
    <t>#of Lrig1+AR+ cells</t>
  </si>
  <si>
    <t>7 days</t>
  </si>
  <si>
    <t>#of AR+ basal cells</t>
  </si>
  <si>
    <t>aRW 14d</t>
  </si>
  <si>
    <t>14 days</t>
  </si>
  <si>
    <t>aJ2 14d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</si>
</sst>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right"/>
    </xf>
    <xf numFmtId="9" fontId="0" fillId="0" borderId="0" xfId="1" applyFont="1"/>
    <xf numFmtId="9" fontId="0" fillId="0" borderId="0" xfId="0" applyNumberFormat="1"/>
    <xf numFmtId="9" fontId="2" fillId="0" borderId="0" xfId="0" applyNumberFormat="1" applyFont="1"/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9" fontId="2" fillId="0" borderId="0" xfId="1" applyFont="1"/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14 days post antibody treatment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[1]MSR18057!$O$3</c:f>
              <c:strCache>
                <c:ptCount val="1"/>
                <c:pt idx="0">
                  <c:v>Proper SG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([1]MSR18057!$F$11,[1]MSR18057!$F$23,[1]MSR18057!$F$35,[1]MSR18057!$F$47)</c:f>
                <c:numCache>
                  <c:formatCode>General</c:formatCode>
                  <c:ptCount val="4"/>
                  <c:pt idx="0">
                    <c:v>2.0814587622508501E-3</c:v>
                  </c:pt>
                  <c:pt idx="1">
                    <c:v>1.0904080487187905E-2</c:v>
                  </c:pt>
                  <c:pt idx="2">
                    <c:v>2.2938611894385282E-2</c:v>
                  </c:pt>
                  <c:pt idx="3">
                    <c:v>3.0622722323849542E-2</c:v>
                  </c:pt>
                </c:numCache>
              </c:numRef>
            </c:plus>
            <c:minus>
              <c:numRef>
                <c:f>([1]MSR18057!$F$11,[1]MSR18057!$F$23,[1]MSR18057!$F$35,[1]MSR18057!$F$47)</c:f>
                <c:numCache>
                  <c:formatCode>General</c:formatCode>
                  <c:ptCount val="4"/>
                  <c:pt idx="0">
                    <c:v>2.0814587622508501E-3</c:v>
                  </c:pt>
                  <c:pt idx="1">
                    <c:v>1.0904080487187905E-2</c:v>
                  </c:pt>
                  <c:pt idx="2">
                    <c:v>2.2938611894385282E-2</c:v>
                  </c:pt>
                  <c:pt idx="3">
                    <c:v>3.0622722323849542E-2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[1]MSR18032!$N$4:$N$7</c:f>
              <c:strCache>
                <c:ptCount val="4"/>
                <c:pt idx="0">
                  <c:v>aRW</c:v>
                </c:pt>
                <c:pt idx="1">
                  <c:v>aJAG1</c:v>
                </c:pt>
                <c:pt idx="2">
                  <c:v>aJAG2</c:v>
                </c:pt>
                <c:pt idx="3">
                  <c:v>aJ1J2</c:v>
                </c:pt>
              </c:strCache>
            </c:strRef>
          </c:cat>
          <c:val>
            <c:numRef>
              <c:f>[1]MSR18057!$O$4:$O$7</c:f>
              <c:numCache>
                <c:formatCode>0%</c:formatCode>
                <c:ptCount val="4"/>
                <c:pt idx="0">
                  <c:v>0.89733885029796612</c:v>
                </c:pt>
                <c:pt idx="1">
                  <c:v>0.87924113320665054</c:v>
                </c:pt>
                <c:pt idx="2">
                  <c:v>0.2330012531328321</c:v>
                </c:pt>
                <c:pt idx="3">
                  <c:v>0.1941933187130927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43-E64A-9B52-58449D1A121A}"/>
            </c:ext>
          </c:extLst>
        </c:ser>
        <c:ser>
          <c:idx val="1"/>
          <c:order val="1"/>
          <c:tx>
            <c:strRef>
              <c:f>[1]MSR18057!$P$3</c:f>
              <c:strCache>
                <c:ptCount val="1"/>
                <c:pt idx="0">
                  <c:v>Mixed SG</c:v>
                </c:pt>
              </c:strCache>
            </c:strRef>
          </c:tx>
          <c:spPr>
            <a:solidFill>
              <a:srgbClr val="00919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([1]MSR18057!$G$11,[1]MSR18057!$G$23,[1]MSR18057!$G$35,[1]MSR18057!$G$47)</c:f>
                <c:numCache>
                  <c:formatCode>General</c:formatCode>
                  <c:ptCount val="4"/>
                  <c:pt idx="0">
                    <c:v>5.9105106577206608E-3</c:v>
                  </c:pt>
                  <c:pt idx="1">
                    <c:v>1.2568491293629379E-2</c:v>
                  </c:pt>
                  <c:pt idx="2">
                    <c:v>1.2966193632305664E-2</c:v>
                  </c:pt>
                  <c:pt idx="3">
                    <c:v>4.0607789121668278E-2</c:v>
                  </c:pt>
                </c:numCache>
              </c:numRef>
            </c:plus>
            <c:minus>
              <c:numRef>
                <c:f>([1]MSR18057!$G$11,[1]MSR18057!$G$23,[1]MSR18057!$G$35,[1]MSR18057!$G$47)</c:f>
                <c:numCache>
                  <c:formatCode>General</c:formatCode>
                  <c:ptCount val="4"/>
                  <c:pt idx="0">
                    <c:v>5.9105106577206608E-3</c:v>
                  </c:pt>
                  <c:pt idx="1">
                    <c:v>1.2568491293629379E-2</c:v>
                  </c:pt>
                  <c:pt idx="2">
                    <c:v>1.2966193632305664E-2</c:v>
                  </c:pt>
                  <c:pt idx="3">
                    <c:v>4.0607789121668278E-2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[1]MSR18032!$N$4:$N$7</c:f>
              <c:strCache>
                <c:ptCount val="4"/>
                <c:pt idx="0">
                  <c:v>aRW</c:v>
                </c:pt>
                <c:pt idx="1">
                  <c:v>aJAG1</c:v>
                </c:pt>
                <c:pt idx="2">
                  <c:v>aJAG2</c:v>
                </c:pt>
                <c:pt idx="3">
                  <c:v>aJ1J2</c:v>
                </c:pt>
              </c:strCache>
            </c:strRef>
          </c:cat>
          <c:val>
            <c:numRef>
              <c:f>[1]MSR18057!$P$4:$P$7</c:f>
              <c:numCache>
                <c:formatCode>0%</c:formatCode>
                <c:ptCount val="4"/>
                <c:pt idx="0">
                  <c:v>7.3532830635345034E-2</c:v>
                </c:pt>
                <c:pt idx="1">
                  <c:v>7.877974153836223E-2</c:v>
                </c:pt>
                <c:pt idx="2">
                  <c:v>0.56068295739348373</c:v>
                </c:pt>
                <c:pt idx="3">
                  <c:v>0.54821934708940356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43-E64A-9B52-58449D1A121A}"/>
            </c:ext>
          </c:extLst>
        </c:ser>
        <c:ser>
          <c:idx val="2"/>
          <c:order val="2"/>
          <c:tx>
            <c:strRef>
              <c:f>[1]MSR18057!$Q$3</c:f>
              <c:strCache>
                <c:ptCount val="1"/>
                <c:pt idx="0">
                  <c:v>No sebocyte SG</c:v>
                </c:pt>
              </c:strCache>
            </c:strRef>
          </c:tx>
          <c:spPr>
            <a:solidFill>
              <a:srgbClr val="76D6FF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([1]MSR18057!$H$11,[1]MSR18057!$H$23,[1]MSR18057!$H$35,[1]MSR18057!$H$47)</c:f>
                <c:numCache>
                  <c:formatCode>General</c:formatCode>
                  <c:ptCount val="4"/>
                  <c:pt idx="0">
                    <c:v>5.4223412637175771E-3</c:v>
                  </c:pt>
                  <c:pt idx="1">
                    <c:v>1.1029924705091581E-2</c:v>
                  </c:pt>
                  <c:pt idx="2">
                    <c:v>2.6951202138083424E-2</c:v>
                  </c:pt>
                  <c:pt idx="3">
                    <c:v>4.0066069412798888E-2</c:v>
                  </c:pt>
                </c:numCache>
              </c:numRef>
            </c:plus>
            <c:minus>
              <c:numRef>
                <c:f>([1]MSR18057!$H$11,[1]MSR18057!$H$23,[1]MSR18057!$H$35,[1]MSR18057!$H$47)</c:f>
                <c:numCache>
                  <c:formatCode>General</c:formatCode>
                  <c:ptCount val="4"/>
                  <c:pt idx="0">
                    <c:v>5.4223412637175771E-3</c:v>
                  </c:pt>
                  <c:pt idx="1">
                    <c:v>1.1029924705091581E-2</c:v>
                  </c:pt>
                  <c:pt idx="2">
                    <c:v>2.6951202138083424E-2</c:v>
                  </c:pt>
                  <c:pt idx="3">
                    <c:v>4.0066069412798888E-2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[1]MSR18032!$N$4:$N$7</c:f>
              <c:strCache>
                <c:ptCount val="4"/>
                <c:pt idx="0">
                  <c:v>aRW</c:v>
                </c:pt>
                <c:pt idx="1">
                  <c:v>aJAG1</c:v>
                </c:pt>
                <c:pt idx="2">
                  <c:v>aJAG2</c:v>
                </c:pt>
                <c:pt idx="3">
                  <c:v>aJ1J2</c:v>
                </c:pt>
              </c:strCache>
            </c:strRef>
          </c:cat>
          <c:val>
            <c:numRef>
              <c:f>[1]MSR18057!$Q$4:$Q$7</c:f>
              <c:numCache>
                <c:formatCode>0%</c:formatCode>
                <c:ptCount val="4"/>
                <c:pt idx="0">
                  <c:v>2.9128319066688901E-2</c:v>
                </c:pt>
                <c:pt idx="1">
                  <c:v>4.1979125254987322E-2</c:v>
                </c:pt>
                <c:pt idx="2">
                  <c:v>0.20631578947368423</c:v>
                </c:pt>
                <c:pt idx="3">
                  <c:v>0.25758733419750368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43-E64A-9B52-58449D1A1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0723567"/>
        <c:axId val="870403215"/>
      </c:barChart>
      <c:catAx>
        <c:axId val="87072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403215"/>
        <c:crosses val="autoZero"/>
        <c:auto val="1"/>
        <c:lblAlgn val="ctr"/>
        <c:lblOffset val="100"/>
        <c:noMultiLvlLbl val="0"/>
      </c:catAx>
      <c:valAx>
        <c:axId val="870403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0723567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10</xdr:row>
      <xdr:rowOff>0</xdr:rowOff>
    </xdr:from>
    <xdr:to>
      <xdr:col>20</xdr:col>
      <xdr:colOff>463550</xdr:colOff>
      <xdr:row>27</xdr:row>
      <xdr:rowOff>164395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9FF165-014D-E645-90E1-D8845CE15F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bidis1/Documents/Lab%20stuff/Projects/Sebocyte%20project/Data/SG%20quantificaiton.xlsx" TargetMode="External"/><Relationship Id="rId1" Type="http://schemas.openxmlformats.org/officeDocument/2006/relationships/externalLinkPath" Target="/Users/abidis1/Documents/Lab%20stuff/Projects/Sebocyte%20project/Data/SG%20quantificait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SR17412"/>
      <sheetName val="MSR18032"/>
      <sheetName val="MSR18057"/>
      <sheetName val="MSR20289"/>
      <sheetName val="MSR23403"/>
      <sheetName val="N1ICD,FASN 3d"/>
      <sheetName val="FASN, Adipo"/>
      <sheetName val="Ki67, FASN 7d"/>
      <sheetName val="Lrig1, AR"/>
      <sheetName val="N1ICD,FASN 7d"/>
      <sheetName val="AR, FASN 14d"/>
    </sheetNames>
    <sheetDataSet>
      <sheetData sheetId="0"/>
      <sheetData sheetId="1">
        <row r="4">
          <cell r="N4" t="str">
            <v>aRW</v>
          </cell>
        </row>
        <row r="5">
          <cell r="N5" t="str">
            <v>aJAG1</v>
          </cell>
        </row>
        <row r="6">
          <cell r="N6" t="str">
            <v>aJAG2</v>
          </cell>
        </row>
        <row r="7">
          <cell r="N7" t="str">
            <v>aJ1J2</v>
          </cell>
        </row>
      </sheetData>
      <sheetData sheetId="2">
        <row r="3">
          <cell r="O3" t="str">
            <v>Proper SG</v>
          </cell>
          <cell r="P3" t="str">
            <v>Mixed SG</v>
          </cell>
          <cell r="Q3" t="str">
            <v>No sebocyte SG</v>
          </cell>
        </row>
        <row r="4">
          <cell r="O4">
            <v>0.89733885029796612</v>
          </cell>
          <cell r="P4">
            <v>7.3532830635345034E-2</v>
          </cell>
          <cell r="Q4">
            <v>2.9128319066688901E-2</v>
          </cell>
        </row>
        <row r="5">
          <cell r="O5">
            <v>0.87924113320665054</v>
          </cell>
          <cell r="P5">
            <v>7.877974153836223E-2</v>
          </cell>
          <cell r="Q5">
            <v>4.1979125254987322E-2</v>
          </cell>
        </row>
        <row r="6">
          <cell r="O6">
            <v>0.2330012531328321</v>
          </cell>
          <cell r="P6">
            <v>0.56068295739348373</v>
          </cell>
          <cell r="Q6">
            <v>0.20631578947368423</v>
          </cell>
        </row>
        <row r="7">
          <cell r="O7">
            <v>0.1941933187130927</v>
          </cell>
          <cell r="P7">
            <v>0.54821934708940356</v>
          </cell>
          <cell r="Q7">
            <v>0.25758733419750368</v>
          </cell>
        </row>
        <row r="11">
          <cell r="F11">
            <v>2.0814587622508501E-3</v>
          </cell>
          <cell r="G11">
            <v>5.9105106577206608E-3</v>
          </cell>
          <cell r="H11">
            <v>5.4223412637175771E-3</v>
          </cell>
        </row>
        <row r="23">
          <cell r="F23">
            <v>1.0904080487187905E-2</v>
          </cell>
          <cell r="G23">
            <v>1.2568491293629379E-2</v>
          </cell>
          <cell r="H23">
            <v>1.1029924705091581E-2</v>
          </cell>
        </row>
        <row r="35">
          <cell r="F35">
            <v>2.2938611894385282E-2</v>
          </cell>
          <cell r="G35">
            <v>1.2966193632305664E-2</v>
          </cell>
          <cell r="H35">
            <v>2.6951202138083424E-2</v>
          </cell>
        </row>
        <row r="47">
          <cell r="F47">
            <v>3.0622722323849542E-2</v>
          </cell>
          <cell r="G47">
            <v>4.0607789121668278E-2</v>
          </cell>
          <cell r="H47">
            <v>4.0066069412798888E-2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B3">
            <v>4</v>
          </cell>
        </row>
        <row r="4">
          <cell r="B4">
            <v>4</v>
          </cell>
        </row>
        <row r="5">
          <cell r="B5">
            <v>2</v>
          </cell>
        </row>
        <row r="6">
          <cell r="B6">
            <v>4</v>
          </cell>
        </row>
        <row r="7">
          <cell r="B7">
            <v>5</v>
          </cell>
        </row>
        <row r="8">
          <cell r="B8">
            <v>2</v>
          </cell>
        </row>
        <row r="9">
          <cell r="B9">
            <v>1</v>
          </cell>
        </row>
        <row r="10">
          <cell r="B10">
            <v>1</v>
          </cell>
        </row>
        <row r="11">
          <cell r="B11">
            <v>3</v>
          </cell>
        </row>
        <row r="12">
          <cell r="B12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9E65C-D7BE-3945-A799-B186BCF1DD55}">
  <dimension ref="A1:Q67"/>
  <sheetViews>
    <sheetView workbookViewId="0">
      <selection activeCell="D54" sqref="D54"/>
    </sheetView>
  </sheetViews>
  <sheetFormatPr baseColWidth="10" defaultRowHeight="16" x14ac:dyDescent="0.2"/>
  <sheetData>
    <row r="1" spans="1:17" x14ac:dyDescent="0.2">
      <c r="A1" t="s">
        <v>0</v>
      </c>
    </row>
    <row r="3" spans="1:17" x14ac:dyDescent="0.2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2</v>
      </c>
      <c r="K3" s="1" t="s">
        <v>10</v>
      </c>
      <c r="L3" s="1" t="s">
        <v>11</v>
      </c>
      <c r="O3" s="1" t="s">
        <v>2</v>
      </c>
      <c r="P3" s="1" t="s">
        <v>10</v>
      </c>
      <c r="Q3" s="1" t="s">
        <v>11</v>
      </c>
    </row>
    <row r="4" spans="1:17" x14ac:dyDescent="0.2">
      <c r="A4" s="2" t="s">
        <v>12</v>
      </c>
      <c r="B4">
        <f>SUM(20,17,31,26,8)</f>
        <v>102</v>
      </c>
      <c r="C4">
        <f>SUM(1,1,1,2,1,1,1,1,1)</f>
        <v>10</v>
      </c>
      <c r="D4">
        <f>SUM(1,1)</f>
        <v>2</v>
      </c>
      <c r="E4">
        <f>SUM(B4,C4,D4)</f>
        <v>114</v>
      </c>
      <c r="F4" s="3">
        <f>B4/E4</f>
        <v>0.89473684210526316</v>
      </c>
      <c r="G4" s="3">
        <f>C4/E4</f>
        <v>8.771929824561403E-2</v>
      </c>
      <c r="H4" s="3">
        <f>D4/E4</f>
        <v>1.7543859649122806E-2</v>
      </c>
      <c r="I4" s="4">
        <f>SUM(F4:H4)</f>
        <v>1</v>
      </c>
      <c r="J4" s="5">
        <f>F9</f>
        <v>0.89733885029796612</v>
      </c>
      <c r="K4" s="5">
        <f>G9</f>
        <v>7.3532830635345034E-2</v>
      </c>
      <c r="L4" s="5">
        <f>H9</f>
        <v>2.9128319066688901E-2</v>
      </c>
      <c r="N4" s="1" t="s">
        <v>1</v>
      </c>
      <c r="O4" s="4">
        <f>J4</f>
        <v>0.89733885029796612</v>
      </c>
      <c r="P4" s="4">
        <f>K4</f>
        <v>7.3532830635345034E-2</v>
      </c>
      <c r="Q4" s="4">
        <f>L4</f>
        <v>2.9128319066688901E-2</v>
      </c>
    </row>
    <row r="5" spans="1:17" x14ac:dyDescent="0.2">
      <c r="A5" s="2" t="s">
        <v>13</v>
      </c>
      <c r="B5">
        <f>SUM(18,12,28,6,30)</f>
        <v>94</v>
      </c>
      <c r="C5">
        <f>SUM(2,1,1,2,1,2)</f>
        <v>9</v>
      </c>
      <c r="D5">
        <f>SUM(1,1)</f>
        <v>2</v>
      </c>
      <c r="E5">
        <f>SUM(B5,C5,D5)</f>
        <v>105</v>
      </c>
      <c r="F5" s="3">
        <f>B5/E5</f>
        <v>0.89523809523809528</v>
      </c>
      <c r="G5" s="3">
        <f>C5/E5</f>
        <v>8.5714285714285715E-2</v>
      </c>
      <c r="H5" s="3">
        <f>D5/E5</f>
        <v>1.9047619047619049E-2</v>
      </c>
      <c r="I5" s="4">
        <f>SUM(F5:H5)</f>
        <v>1</v>
      </c>
      <c r="N5" s="1" t="s">
        <v>20</v>
      </c>
      <c r="O5" s="4">
        <f>J16</f>
        <v>0.87924113320665054</v>
      </c>
      <c r="P5" s="4">
        <f>K16</f>
        <v>7.877974153836223E-2</v>
      </c>
      <c r="Q5" s="4">
        <f>L16</f>
        <v>4.1979125254987322E-2</v>
      </c>
    </row>
    <row r="6" spans="1:17" x14ac:dyDescent="0.2">
      <c r="A6" s="2" t="s">
        <v>14</v>
      </c>
      <c r="B6">
        <f>SUM(13,24,27,18,14)</f>
        <v>96</v>
      </c>
      <c r="C6">
        <f>SUM(1,1,1,2,1)</f>
        <v>6</v>
      </c>
      <c r="D6">
        <f>SUM(1,1,1,1,1)</f>
        <v>5</v>
      </c>
      <c r="E6">
        <f>SUM(B6,C6,D6)</f>
        <v>107</v>
      </c>
      <c r="F6" s="3">
        <f>B6/E6</f>
        <v>0.89719626168224298</v>
      </c>
      <c r="G6" s="3">
        <f>C6/E6</f>
        <v>5.6074766355140186E-2</v>
      </c>
      <c r="H6" s="3">
        <f>D6/E6</f>
        <v>4.6728971962616821E-2</v>
      </c>
      <c r="I6" s="4">
        <f>SUM(F6:H6)</f>
        <v>1</v>
      </c>
      <c r="N6" s="1" t="s">
        <v>26</v>
      </c>
      <c r="O6" s="4">
        <f>J28</f>
        <v>0.2330012531328321</v>
      </c>
      <c r="P6" s="4">
        <f>K28</f>
        <v>0.56068295739348373</v>
      </c>
      <c r="Q6" s="4">
        <f>L28</f>
        <v>0.20631578947368423</v>
      </c>
    </row>
    <row r="7" spans="1:17" x14ac:dyDescent="0.2">
      <c r="A7" s="2" t="s">
        <v>15</v>
      </c>
      <c r="B7">
        <f>SUM(25,26,25)</f>
        <v>76</v>
      </c>
      <c r="C7">
        <f>SUM(1,1,2,1,1)</f>
        <v>6</v>
      </c>
      <c r="D7">
        <f>SUM(1,1,1)</f>
        <v>3</v>
      </c>
      <c r="E7">
        <f>SUM(B7,C7,D7)</f>
        <v>85</v>
      </c>
      <c r="F7" s="3">
        <f>B7/E7</f>
        <v>0.89411764705882357</v>
      </c>
      <c r="G7" s="3">
        <f>C7/E7</f>
        <v>7.0588235294117646E-2</v>
      </c>
      <c r="H7" s="3">
        <f>D7/E7</f>
        <v>3.5294117647058823E-2</v>
      </c>
      <c r="I7" s="4">
        <f>SUM(F7:H7)</f>
        <v>1</v>
      </c>
      <c r="N7" s="1" t="s">
        <v>32</v>
      </c>
      <c r="O7" s="4">
        <f>J40</f>
        <v>0.1941933187130927</v>
      </c>
      <c r="P7" s="4">
        <f>K40</f>
        <v>0.54821934708940356</v>
      </c>
      <c r="Q7" s="4">
        <f>L40</f>
        <v>0.25758733419750368</v>
      </c>
    </row>
    <row r="8" spans="1:17" x14ac:dyDescent="0.2">
      <c r="A8" s="2" t="s">
        <v>16</v>
      </c>
      <c r="B8">
        <f>SUM(28,20,19)</f>
        <v>67</v>
      </c>
      <c r="C8">
        <f>SUM(2,1,2)</f>
        <v>5</v>
      </c>
      <c r="D8">
        <f>SUM(1,1)</f>
        <v>2</v>
      </c>
      <c r="E8">
        <f>SUM(B8,C8,D8)</f>
        <v>74</v>
      </c>
      <c r="F8" s="3">
        <f>B8/E8</f>
        <v>0.90540540540540537</v>
      </c>
      <c r="G8" s="3">
        <f>C8/E8</f>
        <v>6.7567567567567571E-2</v>
      </c>
      <c r="H8" s="3">
        <f>D8/E8</f>
        <v>2.7027027027027029E-2</v>
      </c>
      <c r="I8" s="4">
        <f>SUM(F8:H8)</f>
        <v>1</v>
      </c>
    </row>
    <row r="9" spans="1:17" x14ac:dyDescent="0.2">
      <c r="A9" s="6" t="s">
        <v>17</v>
      </c>
      <c r="B9">
        <f>SUM(B4:B8)</f>
        <v>435</v>
      </c>
      <c r="C9">
        <f>SUM(C4:C8)</f>
        <v>36</v>
      </c>
      <c r="D9">
        <f>SUM(D4:D8)</f>
        <v>14</v>
      </c>
      <c r="E9">
        <f>SUM(E4:E8)</f>
        <v>485</v>
      </c>
      <c r="F9" s="5">
        <f>AVERAGE(F4:F8)</f>
        <v>0.89733885029796612</v>
      </c>
      <c r="G9" s="5">
        <f>AVERAGE(G4:G8)</f>
        <v>7.3532830635345034E-2</v>
      </c>
      <c r="H9" s="5">
        <f>AVERAGE(H4:H8)</f>
        <v>2.9128319066688901E-2</v>
      </c>
    </row>
    <row r="10" spans="1:17" x14ac:dyDescent="0.2">
      <c r="A10" s="7" t="s">
        <v>18</v>
      </c>
      <c r="F10" s="8">
        <f>STDEV(F4:F8)</f>
        <v>4.6542832847554739E-3</v>
      </c>
      <c r="G10" s="8">
        <f>STDEV(G4:G8)</f>
        <v>1.321630361240039E-2</v>
      </c>
      <c r="H10" s="8">
        <f>STDEV(H4:H8)</f>
        <v>1.2124723662874617E-2</v>
      </c>
    </row>
    <row r="11" spans="1:17" x14ac:dyDescent="0.2">
      <c r="A11" s="7" t="s">
        <v>19</v>
      </c>
      <c r="F11" s="8">
        <f>F10/SQRT(5)</f>
        <v>2.0814587622508501E-3</v>
      </c>
      <c r="G11" s="8">
        <f>G10/SQRT(5)</f>
        <v>5.9105106577206608E-3</v>
      </c>
      <c r="H11" s="8">
        <f>H10/SQRT(5)</f>
        <v>5.4223412637175771E-3</v>
      </c>
    </row>
    <row r="15" spans="1:17" x14ac:dyDescent="0.2">
      <c r="A15" s="1" t="s">
        <v>20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  <c r="I15" s="1" t="s">
        <v>9</v>
      </c>
      <c r="J15" s="1" t="s">
        <v>2</v>
      </c>
      <c r="K15" s="1" t="s">
        <v>10</v>
      </c>
      <c r="L15" s="1" t="s">
        <v>11</v>
      </c>
    </row>
    <row r="16" spans="1:17" x14ac:dyDescent="0.2">
      <c r="A16" s="2" t="s">
        <v>21</v>
      </c>
      <c r="B16">
        <f>SUM(25,20,15,5)</f>
        <v>65</v>
      </c>
      <c r="C16">
        <f>SUM(1,1,1,1,1)</f>
        <v>5</v>
      </c>
      <c r="D16">
        <f>SUM(1,1,1,1)</f>
        <v>4</v>
      </c>
      <c r="E16">
        <f>SUM(B16,C16,D16)</f>
        <v>74</v>
      </c>
      <c r="F16" s="3">
        <f>B16/E16</f>
        <v>0.8783783783783784</v>
      </c>
      <c r="G16" s="3">
        <f>C16/E16</f>
        <v>6.7567567567567571E-2</v>
      </c>
      <c r="H16" s="3">
        <f>D16/E16</f>
        <v>5.4054054054054057E-2</v>
      </c>
      <c r="I16" s="4">
        <f>SUM(F16:H16)</f>
        <v>1</v>
      </c>
      <c r="J16" s="5">
        <f>F21</f>
        <v>0.87924113320665054</v>
      </c>
      <c r="K16" s="5">
        <f>G21</f>
        <v>7.877974153836223E-2</v>
      </c>
      <c r="L16" s="5">
        <f>H21</f>
        <v>4.1979125254987322E-2</v>
      </c>
    </row>
    <row r="17" spans="1:12" x14ac:dyDescent="0.2">
      <c r="A17" s="2" t="s">
        <v>22</v>
      </c>
      <c r="B17">
        <f>SUM(19,29,30)</f>
        <v>78</v>
      </c>
      <c r="C17">
        <f>SUM(2,2,1,1,1,2)</f>
        <v>9</v>
      </c>
      <c r="D17">
        <f>SUM(1,1,1)</f>
        <v>3</v>
      </c>
      <c r="E17">
        <f>SUM(B17,C17,D17)</f>
        <v>90</v>
      </c>
      <c r="F17" s="3">
        <f>B17/E17</f>
        <v>0.8666666666666667</v>
      </c>
      <c r="G17" s="3">
        <f>C17/E17</f>
        <v>0.1</v>
      </c>
      <c r="H17" s="3">
        <f>D17/E17</f>
        <v>3.3333333333333333E-2</v>
      </c>
      <c r="I17" s="4">
        <f>SUM(F17:H17)</f>
        <v>1</v>
      </c>
    </row>
    <row r="18" spans="1:12" x14ac:dyDescent="0.2">
      <c r="A18" s="2" t="s">
        <v>23</v>
      </c>
      <c r="B18">
        <f>SUM(23,10,15,17,11)</f>
        <v>76</v>
      </c>
      <c r="C18">
        <f>SUM(1,1,1,1,1,1,1,2,1)</f>
        <v>10</v>
      </c>
      <c r="D18">
        <f>SUM(1)</f>
        <v>1</v>
      </c>
      <c r="E18">
        <f>SUM(B18,C18,D18)</f>
        <v>87</v>
      </c>
      <c r="F18" s="3">
        <f>B18/E18</f>
        <v>0.87356321839080464</v>
      </c>
      <c r="G18" s="3">
        <f>C18/E18</f>
        <v>0.11494252873563218</v>
      </c>
      <c r="H18" s="3">
        <f>D18/E18</f>
        <v>1.1494252873563218E-2</v>
      </c>
      <c r="I18" s="4">
        <f>SUM(F18:H18)</f>
        <v>1</v>
      </c>
    </row>
    <row r="19" spans="1:12" x14ac:dyDescent="0.2">
      <c r="A19" s="2" t="s">
        <v>24</v>
      </c>
      <c r="B19">
        <f>SUM(12,14,18,19,15)</f>
        <v>78</v>
      </c>
      <c r="C19">
        <f>SUM(1,1,1,1,2)</f>
        <v>6</v>
      </c>
      <c r="D19">
        <f>SUM(1,2,1,1,1,1)</f>
        <v>7</v>
      </c>
      <c r="E19">
        <f>SUM(B19,C19,D19)</f>
        <v>91</v>
      </c>
      <c r="F19" s="3">
        <f>B19/E19</f>
        <v>0.8571428571428571</v>
      </c>
      <c r="G19" s="3">
        <f>C19/E19</f>
        <v>6.5934065934065936E-2</v>
      </c>
      <c r="H19" s="3">
        <f>D19/E19</f>
        <v>7.6923076923076927E-2</v>
      </c>
      <c r="I19" s="4">
        <f>SUM(F19:H19)</f>
        <v>1</v>
      </c>
    </row>
    <row r="20" spans="1:12" x14ac:dyDescent="0.2">
      <c r="A20" s="2" t="s">
        <v>25</v>
      </c>
      <c r="B20">
        <f>SUM(25,13,15,10,18)</f>
        <v>81</v>
      </c>
      <c r="C20">
        <f>SUM(1,1,1,1)</f>
        <v>4</v>
      </c>
      <c r="D20">
        <f>SUM(1,1,1)</f>
        <v>3</v>
      </c>
      <c r="E20">
        <f>SUM(B20,C20,D20)</f>
        <v>88</v>
      </c>
      <c r="F20" s="3">
        <f>B20/E20</f>
        <v>0.92045454545454541</v>
      </c>
      <c r="G20" s="3">
        <f>C20/E20</f>
        <v>4.5454545454545456E-2</v>
      </c>
      <c r="H20" s="3">
        <f>D20/E20</f>
        <v>3.4090909090909088E-2</v>
      </c>
      <c r="I20" s="4">
        <f>SUM(F20:H20)</f>
        <v>0.99999999999999989</v>
      </c>
    </row>
    <row r="21" spans="1:12" x14ac:dyDescent="0.2">
      <c r="A21" s="6" t="s">
        <v>17</v>
      </c>
      <c r="B21">
        <f>SUM(B16:B20)</f>
        <v>378</v>
      </c>
      <c r="C21">
        <f>SUM(C16:C20)</f>
        <v>34</v>
      </c>
      <c r="D21">
        <f>SUM(D16:D20)</f>
        <v>18</v>
      </c>
      <c r="E21">
        <f>SUM(E16:E20)</f>
        <v>430</v>
      </c>
      <c r="F21" s="5">
        <f>AVERAGE(F16:F20)</f>
        <v>0.87924113320665054</v>
      </c>
      <c r="G21" s="5">
        <f>AVERAGE(G16:G20)</f>
        <v>7.877974153836223E-2</v>
      </c>
      <c r="H21" s="5">
        <f>AVERAGE(H16:H20)</f>
        <v>4.1979125254987322E-2</v>
      </c>
    </row>
    <row r="22" spans="1:12" x14ac:dyDescent="0.2">
      <c r="A22" s="7" t="s">
        <v>18</v>
      </c>
      <c r="F22" s="8">
        <f>STDEV(F16:F20)</f>
        <v>2.4382265201481179E-2</v>
      </c>
      <c r="G22" s="8">
        <f>STDEV(G16:G20)</f>
        <v>2.8104000907169562E-2</v>
      </c>
      <c r="H22" s="8">
        <f>STDEV(H16:H20)</f>
        <v>2.4663661427289096E-2</v>
      </c>
    </row>
    <row r="23" spans="1:12" x14ac:dyDescent="0.2">
      <c r="A23" s="7" t="s">
        <v>19</v>
      </c>
      <c r="F23" s="8">
        <f>F22/SQRT(5)</f>
        <v>1.0904080487187905E-2</v>
      </c>
      <c r="G23" s="8">
        <f>G22/SQRT(5)</f>
        <v>1.2568491293629379E-2</v>
      </c>
      <c r="H23" s="8">
        <f>H22/SQRT(5)</f>
        <v>1.1029924705091581E-2</v>
      </c>
    </row>
    <row r="27" spans="1:12" x14ac:dyDescent="0.2">
      <c r="A27" s="1" t="s">
        <v>26</v>
      </c>
      <c r="B27" s="1" t="s">
        <v>2</v>
      </c>
      <c r="C27" s="1" t="s">
        <v>3</v>
      </c>
      <c r="D27" s="1" t="s">
        <v>4</v>
      </c>
      <c r="E27" s="1" t="s">
        <v>5</v>
      </c>
      <c r="F27" s="1" t="s">
        <v>6</v>
      </c>
      <c r="G27" s="1" t="s">
        <v>7</v>
      </c>
      <c r="H27" s="1" t="s">
        <v>8</v>
      </c>
      <c r="I27" s="1" t="s">
        <v>9</v>
      </c>
      <c r="J27" s="1" t="s">
        <v>2</v>
      </c>
      <c r="K27" s="1" t="s">
        <v>10</v>
      </c>
      <c r="L27" s="1" t="s">
        <v>11</v>
      </c>
    </row>
    <row r="28" spans="1:12" x14ac:dyDescent="0.2">
      <c r="A28" s="2" t="s">
        <v>27</v>
      </c>
      <c r="B28">
        <f>SUM(10,3,1)</f>
        <v>14</v>
      </c>
      <c r="C28">
        <f>SUM(15,10,12)</f>
        <v>37</v>
      </c>
      <c r="D28">
        <f>SUM(7,6,6)</f>
        <v>19</v>
      </c>
      <c r="E28">
        <f>SUM(B28,C28,D28)</f>
        <v>70</v>
      </c>
      <c r="F28" s="3">
        <f>B28/E28</f>
        <v>0.2</v>
      </c>
      <c r="G28" s="3">
        <f>C28/E28</f>
        <v>0.52857142857142858</v>
      </c>
      <c r="H28" s="3">
        <f>D28/E28</f>
        <v>0.27142857142857141</v>
      </c>
      <c r="I28" s="4">
        <f>SUM(F28:H28)</f>
        <v>1</v>
      </c>
      <c r="J28" s="5">
        <f>F33</f>
        <v>0.2330012531328321</v>
      </c>
      <c r="K28" s="5">
        <f>G33</f>
        <v>0.56068295739348373</v>
      </c>
      <c r="L28" s="5">
        <f>H33</f>
        <v>0.20631578947368423</v>
      </c>
    </row>
    <row r="29" spans="1:12" x14ac:dyDescent="0.2">
      <c r="A29" s="2" t="s">
        <v>28</v>
      </c>
      <c r="B29">
        <f>SUM(11,6)</f>
        <v>17</v>
      </c>
      <c r="C29">
        <f>SUM(16,21,10)</f>
        <v>47</v>
      </c>
      <c r="D29">
        <f>SUM(8,8)</f>
        <v>16</v>
      </c>
      <c r="E29">
        <f>SUM(B29,C29,D29)</f>
        <v>80</v>
      </c>
      <c r="F29" s="3">
        <f>B29/E29</f>
        <v>0.21249999999999999</v>
      </c>
      <c r="G29" s="3">
        <f>C29/E29</f>
        <v>0.58750000000000002</v>
      </c>
      <c r="H29" s="3">
        <f>D29/E29</f>
        <v>0.2</v>
      </c>
      <c r="I29" s="4">
        <f>SUM(F29:H29)</f>
        <v>1</v>
      </c>
    </row>
    <row r="30" spans="1:12" x14ac:dyDescent="0.2">
      <c r="A30" s="2" t="s">
        <v>29</v>
      </c>
      <c r="B30">
        <f>SUM(10,9,2)</f>
        <v>21</v>
      </c>
      <c r="C30">
        <f>SUM(11,18,16)</f>
        <v>45</v>
      </c>
      <c r="D30">
        <f>SUM(3,4,3)</f>
        <v>10</v>
      </c>
      <c r="E30">
        <f>SUM(B30,C30,D30)</f>
        <v>76</v>
      </c>
      <c r="F30" s="3">
        <f>B30/E30</f>
        <v>0.27631578947368424</v>
      </c>
      <c r="G30" s="3">
        <f>C30/E30</f>
        <v>0.59210526315789469</v>
      </c>
      <c r="H30" s="3">
        <f>D30/E30</f>
        <v>0.13157894736842105</v>
      </c>
      <c r="I30" s="4">
        <f>SUM(F30:H30)</f>
        <v>1</v>
      </c>
    </row>
    <row r="31" spans="1:12" x14ac:dyDescent="0.2">
      <c r="A31" s="2" t="s">
        <v>30</v>
      </c>
      <c r="B31">
        <f>SUM(2,8,5)</f>
        <v>15</v>
      </c>
      <c r="C31">
        <f>SUM(18,15,14)</f>
        <v>47</v>
      </c>
      <c r="D31">
        <f>SUM(8,5,9)</f>
        <v>22</v>
      </c>
      <c r="E31">
        <f>SUM(B31,C31,D31)</f>
        <v>84</v>
      </c>
      <c r="F31" s="3">
        <f>B31/E31</f>
        <v>0.17857142857142858</v>
      </c>
      <c r="G31" s="3">
        <f>C31/E31</f>
        <v>0.55952380952380953</v>
      </c>
      <c r="H31" s="3">
        <f>D31/E31</f>
        <v>0.26190476190476192</v>
      </c>
      <c r="I31" s="4">
        <f>SUM(F31:H31)</f>
        <v>1</v>
      </c>
    </row>
    <row r="32" spans="1:12" x14ac:dyDescent="0.2">
      <c r="A32" s="2" t="s">
        <v>31</v>
      </c>
      <c r="B32">
        <f>SUM(5,9,11)</f>
        <v>25</v>
      </c>
      <c r="C32">
        <f>SUM(14,17,14)</f>
        <v>45</v>
      </c>
      <c r="D32">
        <f>SUM(6,6,2)</f>
        <v>14</v>
      </c>
      <c r="E32">
        <f>SUM(B32,C32,D32)</f>
        <v>84</v>
      </c>
      <c r="F32" s="3">
        <f>B32/E32</f>
        <v>0.29761904761904762</v>
      </c>
      <c r="G32" s="3">
        <f>C32/E32</f>
        <v>0.5357142857142857</v>
      </c>
      <c r="H32" s="3">
        <f>D32/E32</f>
        <v>0.16666666666666666</v>
      </c>
      <c r="I32" s="4">
        <f>SUM(F32:H32)</f>
        <v>0.99999999999999989</v>
      </c>
    </row>
    <row r="33" spans="1:12" x14ac:dyDescent="0.2">
      <c r="A33" s="6" t="s">
        <v>17</v>
      </c>
      <c r="B33">
        <f>SUM(B28:B32)</f>
        <v>92</v>
      </c>
      <c r="C33">
        <f>SUM(C28:C32)</f>
        <v>221</v>
      </c>
      <c r="D33">
        <f>SUM(D28:D32)</f>
        <v>81</v>
      </c>
      <c r="E33">
        <f>SUM(E28:E32)</f>
        <v>394</v>
      </c>
      <c r="F33" s="5">
        <f>AVERAGE(F28:F32)</f>
        <v>0.2330012531328321</v>
      </c>
      <c r="G33" s="5">
        <f>AVERAGE(G28:G32)</f>
        <v>0.56068295739348373</v>
      </c>
      <c r="H33" s="5">
        <f>AVERAGE(H28:H32)</f>
        <v>0.20631578947368423</v>
      </c>
    </row>
    <row r="34" spans="1:12" x14ac:dyDescent="0.2">
      <c r="A34" s="7" t="s">
        <v>18</v>
      </c>
      <c r="F34" s="8">
        <f>STDEV(F28:F32)</f>
        <v>5.1292295505330716E-2</v>
      </c>
      <c r="G34" s="8">
        <f>STDEV(G28:G32)</f>
        <v>2.8993290371260378E-2</v>
      </c>
      <c r="H34" s="8">
        <f>STDEV(H28:H32)</f>
        <v>6.0264720056092215E-2</v>
      </c>
    </row>
    <row r="35" spans="1:12" x14ac:dyDescent="0.2">
      <c r="A35" s="7" t="s">
        <v>19</v>
      </c>
      <c r="F35" s="8">
        <f>F34/SQRT(5)</f>
        <v>2.2938611894385282E-2</v>
      </c>
      <c r="G35" s="8">
        <f>G34/SQRT(5)</f>
        <v>1.2966193632305664E-2</v>
      </c>
      <c r="H35" s="8">
        <f>H34/SQRT(5)</f>
        <v>2.6951202138083424E-2</v>
      </c>
    </row>
    <row r="39" spans="1:12" x14ac:dyDescent="0.2">
      <c r="A39" s="1" t="s">
        <v>32</v>
      </c>
      <c r="B39" s="1" t="s">
        <v>2</v>
      </c>
      <c r="C39" s="1" t="s">
        <v>3</v>
      </c>
      <c r="D39" s="1" t="s">
        <v>4</v>
      </c>
      <c r="E39" s="1" t="s">
        <v>5</v>
      </c>
      <c r="F39" s="1" t="s">
        <v>6</v>
      </c>
      <c r="G39" s="1" t="s">
        <v>7</v>
      </c>
      <c r="H39" s="1" t="s">
        <v>8</v>
      </c>
      <c r="I39" s="1" t="s">
        <v>9</v>
      </c>
      <c r="J39" s="1" t="s">
        <v>2</v>
      </c>
      <c r="K39" s="1" t="s">
        <v>10</v>
      </c>
      <c r="L39" s="1" t="s">
        <v>11</v>
      </c>
    </row>
    <row r="40" spans="1:12" x14ac:dyDescent="0.2">
      <c r="A40" s="2" t="s">
        <v>33</v>
      </c>
      <c r="B40">
        <f>SUM(3,4,1)</f>
        <v>8</v>
      </c>
      <c r="C40">
        <f>SUM(11,12,17)</f>
        <v>40</v>
      </c>
      <c r="D40">
        <f>SUM(9,5,8)</f>
        <v>22</v>
      </c>
      <c r="E40">
        <f>SUM(B40,C40,D40)</f>
        <v>70</v>
      </c>
      <c r="F40" s="3">
        <f>B40/E40</f>
        <v>0.11428571428571428</v>
      </c>
      <c r="G40" s="3">
        <f>C40/E40</f>
        <v>0.5714285714285714</v>
      </c>
      <c r="H40" s="3">
        <f>D40/E40</f>
        <v>0.31428571428571428</v>
      </c>
      <c r="I40" s="4">
        <f>SUM(F40:H40)</f>
        <v>1</v>
      </c>
      <c r="J40" s="5">
        <f>F45</f>
        <v>0.1941933187130927</v>
      </c>
      <c r="K40" s="5">
        <f>G45</f>
        <v>0.54821934708940356</v>
      </c>
      <c r="L40" s="5">
        <f>H45</f>
        <v>0.25758733419750368</v>
      </c>
    </row>
    <row r="41" spans="1:12" x14ac:dyDescent="0.2">
      <c r="A41" s="2" t="s">
        <v>34</v>
      </c>
      <c r="B41">
        <f>SUM(4,15,3)</f>
        <v>22</v>
      </c>
      <c r="C41">
        <f>SUM(16,10,18)</f>
        <v>44</v>
      </c>
      <c r="D41">
        <f>SUM(4,4,7)</f>
        <v>15</v>
      </c>
      <c r="E41">
        <f>SUM(B41,C41,D41)</f>
        <v>81</v>
      </c>
      <c r="F41" s="3">
        <f>B41/E41</f>
        <v>0.27160493827160492</v>
      </c>
      <c r="G41" s="3">
        <f>C41/E41</f>
        <v>0.54320987654320985</v>
      </c>
      <c r="H41" s="3">
        <f>D41/E41</f>
        <v>0.18518518518518517</v>
      </c>
      <c r="I41" s="4">
        <f>SUM(F41:H41)</f>
        <v>1</v>
      </c>
    </row>
    <row r="42" spans="1:12" x14ac:dyDescent="0.2">
      <c r="A42" s="2" t="s">
        <v>35</v>
      </c>
      <c r="B42">
        <f>SUM(5,5,2)</f>
        <v>12</v>
      </c>
      <c r="C42">
        <f>SUM(19,22,12)</f>
        <v>53</v>
      </c>
      <c r="D42">
        <f>SUM(6,5,1)</f>
        <v>12</v>
      </c>
      <c r="E42">
        <f>SUM(B42,C42,D42)</f>
        <v>77</v>
      </c>
      <c r="F42" s="3">
        <f>B42/E42</f>
        <v>0.15584415584415584</v>
      </c>
      <c r="G42" s="3">
        <f>C42/E42</f>
        <v>0.68831168831168832</v>
      </c>
      <c r="H42" s="3">
        <f>D42/E42</f>
        <v>0.15584415584415584</v>
      </c>
      <c r="I42" s="4">
        <f>SUM(F42:H42)</f>
        <v>1</v>
      </c>
    </row>
    <row r="43" spans="1:12" x14ac:dyDescent="0.2">
      <c r="A43" s="2" t="s">
        <v>36</v>
      </c>
      <c r="B43">
        <f>SUM(4,5,11)</f>
        <v>20</v>
      </c>
      <c r="C43">
        <f>SUM(9,14,14)</f>
        <v>37</v>
      </c>
      <c r="D43">
        <f>SUM(7,8,5)</f>
        <v>20</v>
      </c>
      <c r="E43">
        <f>SUM(B43,C43,D43)</f>
        <v>77</v>
      </c>
      <c r="F43" s="3">
        <f>B43/E43</f>
        <v>0.25974025974025972</v>
      </c>
      <c r="G43" s="3">
        <f>C43/E43</f>
        <v>0.48051948051948051</v>
      </c>
      <c r="H43" s="3">
        <f>D43/E43</f>
        <v>0.25974025974025972</v>
      </c>
      <c r="I43" s="4">
        <f>SUM(F43:H43)</f>
        <v>0.99999999999999989</v>
      </c>
    </row>
    <row r="44" spans="1:12" x14ac:dyDescent="0.2">
      <c r="A44" s="2" t="s">
        <v>37</v>
      </c>
      <c r="B44">
        <f>SUM(1,5,4)</f>
        <v>10</v>
      </c>
      <c r="C44">
        <f>SUM(7,8,12)</f>
        <v>27</v>
      </c>
      <c r="D44">
        <f>SUM(5,12,5)</f>
        <v>22</v>
      </c>
      <c r="E44">
        <f>SUM(B44,C44,D44)</f>
        <v>59</v>
      </c>
      <c r="F44" s="3">
        <f>B44/E44</f>
        <v>0.16949152542372881</v>
      </c>
      <c r="G44" s="3">
        <f>C44/E44</f>
        <v>0.4576271186440678</v>
      </c>
      <c r="H44" s="3">
        <f>D44/E44</f>
        <v>0.3728813559322034</v>
      </c>
      <c r="I44" s="4">
        <f>SUM(F44:H44)</f>
        <v>1</v>
      </c>
    </row>
    <row r="45" spans="1:12" x14ac:dyDescent="0.2">
      <c r="A45" s="6" t="s">
        <v>17</v>
      </c>
      <c r="B45">
        <f>SUM(B40:B44)</f>
        <v>72</v>
      </c>
      <c r="C45">
        <f>SUM(C40:C44)</f>
        <v>201</v>
      </c>
      <c r="D45">
        <f>SUM(D40:D44)</f>
        <v>91</v>
      </c>
      <c r="E45">
        <f>SUM(E40:E44)</f>
        <v>364</v>
      </c>
      <c r="F45" s="5">
        <f>AVERAGE(F40:F44)</f>
        <v>0.1941933187130927</v>
      </c>
      <c r="G45" s="5">
        <f>AVERAGE(G40:G44)</f>
        <v>0.54821934708940356</v>
      </c>
      <c r="H45" s="5">
        <f>AVERAGE(H40:H44)</f>
        <v>0.25758733419750368</v>
      </c>
    </row>
    <row r="46" spans="1:12" x14ac:dyDescent="0.2">
      <c r="A46" s="7" t="s">
        <v>18</v>
      </c>
      <c r="F46" s="8">
        <f>STDEV(F40:F44)</f>
        <v>6.8474488772227907E-2</v>
      </c>
      <c r="G46" s="8">
        <f>STDEV(G40:G44)</f>
        <v>9.0801776892026745E-2</v>
      </c>
      <c r="H46" s="8">
        <f>STDEV(H40:H44)</f>
        <v>8.9590454798243402E-2</v>
      </c>
    </row>
    <row r="47" spans="1:12" x14ac:dyDescent="0.2">
      <c r="A47" s="7" t="s">
        <v>19</v>
      </c>
      <c r="F47" s="8">
        <f>F46/SQRT(5)</f>
        <v>3.0622722323849542E-2</v>
      </c>
      <c r="G47" s="8">
        <f>G46/SQRT(5)</f>
        <v>4.0607789121668278E-2</v>
      </c>
      <c r="H47" s="8">
        <f>H46/SQRT(5)</f>
        <v>4.0066069412798888E-2</v>
      </c>
    </row>
    <row r="54" spans="1:17" x14ac:dyDescent="0.2">
      <c r="A54" s="1" t="s">
        <v>41</v>
      </c>
    </row>
    <row r="55" spans="1:17" x14ac:dyDescent="0.2">
      <c r="C55" t="s">
        <v>38</v>
      </c>
      <c r="I55" t="s">
        <v>38</v>
      </c>
      <c r="O55" t="s">
        <v>38</v>
      </c>
    </row>
    <row r="56" spans="1:17" x14ac:dyDescent="0.2">
      <c r="B56" s="1" t="s">
        <v>2</v>
      </c>
      <c r="C56" s="1" t="s">
        <v>10</v>
      </c>
      <c r="D56" s="1" t="s">
        <v>11</v>
      </c>
      <c r="E56" s="1" t="s">
        <v>39</v>
      </c>
      <c r="H56" s="1" t="s">
        <v>2</v>
      </c>
      <c r="I56" s="1" t="s">
        <v>10</v>
      </c>
      <c r="J56" s="1" t="s">
        <v>11</v>
      </c>
      <c r="K56" s="1" t="s">
        <v>39</v>
      </c>
      <c r="N56" s="1" t="s">
        <v>2</v>
      </c>
      <c r="O56" s="1" t="s">
        <v>10</v>
      </c>
      <c r="P56" s="1" t="s">
        <v>11</v>
      </c>
      <c r="Q56" s="1" t="s">
        <v>39</v>
      </c>
    </row>
    <row r="57" spans="1:17" x14ac:dyDescent="0.2">
      <c r="A57" s="1" t="s">
        <v>1</v>
      </c>
      <c r="B57">
        <v>435</v>
      </c>
      <c r="C57">
        <v>36</v>
      </c>
      <c r="D57">
        <v>14</v>
      </c>
      <c r="E57">
        <f>SUM(B57:D57)</f>
        <v>485</v>
      </c>
      <c r="G57" s="1" t="s">
        <v>1</v>
      </c>
      <c r="H57">
        <v>435</v>
      </c>
      <c r="I57">
        <v>36</v>
      </c>
      <c r="J57">
        <v>14</v>
      </c>
      <c r="K57">
        <f>SUM(H57:J57)</f>
        <v>485</v>
      </c>
      <c r="M57" s="1" t="s">
        <v>1</v>
      </c>
      <c r="N57">
        <v>435</v>
      </c>
      <c r="O57">
        <v>36</v>
      </c>
      <c r="P57">
        <v>14</v>
      </c>
      <c r="Q57">
        <f>SUM(N57:P57)</f>
        <v>485</v>
      </c>
    </row>
    <row r="58" spans="1:17" x14ac:dyDescent="0.2">
      <c r="A58" s="1" t="s">
        <v>20</v>
      </c>
      <c r="B58">
        <v>378</v>
      </c>
      <c r="C58">
        <v>34</v>
      </c>
      <c r="D58">
        <v>18</v>
      </c>
      <c r="E58">
        <f>SUM(B58:D58)</f>
        <v>430</v>
      </c>
      <c r="G58" s="1" t="s">
        <v>26</v>
      </c>
      <c r="H58">
        <v>92</v>
      </c>
      <c r="I58">
        <v>221</v>
      </c>
      <c r="J58">
        <v>81</v>
      </c>
      <c r="K58">
        <f>SUM(H58:J58)</f>
        <v>394</v>
      </c>
      <c r="M58" s="1" t="s">
        <v>32</v>
      </c>
      <c r="N58">
        <v>72</v>
      </c>
      <c r="O58">
        <v>201</v>
      </c>
      <c r="P58">
        <v>91</v>
      </c>
      <c r="Q58">
        <f>SUM(N58:P58)</f>
        <v>364</v>
      </c>
    </row>
    <row r="59" spans="1:17" x14ac:dyDescent="0.2">
      <c r="A59" s="1" t="s">
        <v>39</v>
      </c>
      <c r="B59">
        <f>SUM(B57:B58)</f>
        <v>813</v>
      </c>
      <c r="C59">
        <f>SUM(C57:C58)</f>
        <v>70</v>
      </c>
      <c r="D59">
        <f>SUM(D57:D58)</f>
        <v>32</v>
      </c>
      <c r="E59">
        <f>SUM(B59:D59)</f>
        <v>915</v>
      </c>
      <c r="G59" t="s">
        <v>39</v>
      </c>
      <c r="H59">
        <f>SUM(H57:H58)</f>
        <v>527</v>
      </c>
      <c r="I59">
        <f>SUM(I57:I58)</f>
        <v>257</v>
      </c>
      <c r="J59">
        <f>SUM(J57:J58)</f>
        <v>95</v>
      </c>
      <c r="K59">
        <f>SUM(H59:J59)</f>
        <v>879</v>
      </c>
      <c r="M59" s="1" t="s">
        <v>39</v>
      </c>
      <c r="N59">
        <f>SUM(N57:N58)</f>
        <v>507</v>
      </c>
      <c r="O59">
        <f>SUM(O57:O58)</f>
        <v>237</v>
      </c>
      <c r="P59">
        <f>SUM(P57:P58)</f>
        <v>105</v>
      </c>
      <c r="Q59">
        <f>SUM(Q57:Q58)</f>
        <v>849</v>
      </c>
    </row>
    <row r="60" spans="1:17" x14ac:dyDescent="0.2">
      <c r="A60" s="1"/>
      <c r="G60" s="1"/>
      <c r="H60" s="4"/>
      <c r="I60" s="4"/>
      <c r="J60" s="4"/>
    </row>
    <row r="62" spans="1:17" x14ac:dyDescent="0.2">
      <c r="C62" t="s">
        <v>40</v>
      </c>
      <c r="I62" t="s">
        <v>40</v>
      </c>
      <c r="O62" t="s">
        <v>40</v>
      </c>
    </row>
    <row r="63" spans="1:17" x14ac:dyDescent="0.2">
      <c r="B63" s="1" t="s">
        <v>2</v>
      </c>
      <c r="C63" s="1" t="s">
        <v>10</v>
      </c>
      <c r="D63" s="1" t="s">
        <v>11</v>
      </c>
      <c r="E63" s="1" t="s">
        <v>39</v>
      </c>
      <c r="H63" s="1" t="s">
        <v>2</v>
      </c>
      <c r="I63" s="1" t="s">
        <v>10</v>
      </c>
      <c r="J63" s="1" t="s">
        <v>11</v>
      </c>
      <c r="K63" s="1" t="s">
        <v>39</v>
      </c>
      <c r="N63" s="1" t="s">
        <v>2</v>
      </c>
      <c r="O63" s="1" t="s">
        <v>10</v>
      </c>
      <c r="P63" s="1" t="s">
        <v>11</v>
      </c>
      <c r="Q63" s="1" t="s">
        <v>39</v>
      </c>
    </row>
    <row r="64" spans="1:17" x14ac:dyDescent="0.2">
      <c r="A64" s="1" t="s">
        <v>1</v>
      </c>
      <c r="B64">
        <f>(B59*E57)/E59</f>
        <v>430.93442622950818</v>
      </c>
      <c r="C64">
        <f>(C59*E57)/E59</f>
        <v>37.103825136612024</v>
      </c>
      <c r="D64">
        <f>(D59*E57)/E59</f>
        <v>16.961748633879782</v>
      </c>
      <c r="E64" s="4"/>
      <c r="G64" s="1" t="s">
        <v>1</v>
      </c>
      <c r="H64">
        <f>(H59*K57)/K59</f>
        <v>290.7792946530148</v>
      </c>
      <c r="I64">
        <f>(I59*K57)/K59</f>
        <v>141.80318543799771</v>
      </c>
      <c r="J64">
        <f>(J59*K57)/K59</f>
        <v>52.417519908987487</v>
      </c>
      <c r="M64" s="1" t="s">
        <v>1</v>
      </c>
      <c r="N64">
        <f>(N59*Q57)/Q59</f>
        <v>289.62897526501769</v>
      </c>
      <c r="O64">
        <f>(O59*Q57)/Q59</f>
        <v>135.38869257950529</v>
      </c>
      <c r="P64">
        <f>(P59*Q57)/Q59</f>
        <v>59.982332155477032</v>
      </c>
    </row>
    <row r="65" spans="1:16" x14ac:dyDescent="0.2">
      <c r="A65" s="1" t="s">
        <v>20</v>
      </c>
      <c r="B65">
        <f>(B59*E58)/E59</f>
        <v>382.06557377049182</v>
      </c>
      <c r="C65">
        <f>(C59*E58)/E59</f>
        <v>32.896174863387976</v>
      </c>
      <c r="D65">
        <f>(D59*E58)/E59</f>
        <v>15.038251366120219</v>
      </c>
      <c r="E65" s="4"/>
      <c r="G65" s="1" t="s">
        <v>26</v>
      </c>
      <c r="H65">
        <f>(H59*K58)/K59</f>
        <v>236.2207053469852</v>
      </c>
      <c r="I65">
        <f>(I59*K58)/K59</f>
        <v>115.19681456200227</v>
      </c>
      <c r="J65">
        <f>(J59*K58)/K59</f>
        <v>42.582480091012513</v>
      </c>
      <c r="M65" s="1" t="s">
        <v>32</v>
      </c>
      <c r="N65">
        <f>(N59*Q58)/Q59</f>
        <v>217.37102473498234</v>
      </c>
      <c r="O65">
        <f>(O59*Q58)/Q59</f>
        <v>101.6113074204947</v>
      </c>
      <c r="P65">
        <f>(P59*Q58)/Q59</f>
        <v>45.017667844522968</v>
      </c>
    </row>
    <row r="66" spans="1:16" x14ac:dyDescent="0.2">
      <c r="A66" s="1"/>
      <c r="B66" s="4"/>
      <c r="C66" s="4"/>
      <c r="D66" s="4"/>
      <c r="E66" s="4"/>
      <c r="H66" s="4"/>
      <c r="I66" s="4"/>
      <c r="J66" s="4"/>
      <c r="K66" s="4"/>
      <c r="M66" s="1"/>
    </row>
    <row r="67" spans="1:16" x14ac:dyDescent="0.2">
      <c r="A67">
        <f>_xlfn.CHISQ.TEST(B57:D58,B64:D65)</f>
        <v>0.53473568523975068</v>
      </c>
      <c r="G67">
        <f>_xlfn.CHISQ.TEST(H57:J58,H64:J65)</f>
        <v>2.9048992956609752E-87</v>
      </c>
      <c r="M67">
        <f>_xlfn.CHISQ.TEST(N57:P58,N64:P65)</f>
        <v>1.7312629277997781E-92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5283C-6322-3949-BF9E-0F99A4C9BC69}">
  <dimension ref="A1:T31"/>
  <sheetViews>
    <sheetView workbookViewId="0">
      <selection activeCell="J25" sqref="J25"/>
    </sheetView>
  </sheetViews>
  <sheetFormatPr baseColWidth="10" defaultRowHeight="16" x14ac:dyDescent="0.2"/>
  <cols>
    <col min="7" max="7" width="12.1640625" bestFit="1" customWidth="1"/>
  </cols>
  <sheetData>
    <row r="1" spans="1:20" x14ac:dyDescent="0.2">
      <c r="A1" s="1" t="s">
        <v>51</v>
      </c>
      <c r="B1" s="1"/>
      <c r="C1" s="1"/>
      <c r="D1" s="1"/>
      <c r="E1" s="1"/>
      <c r="F1" s="1" t="s">
        <v>55</v>
      </c>
      <c r="G1" s="1"/>
      <c r="H1" s="1"/>
      <c r="L1" s="1" t="s">
        <v>42</v>
      </c>
      <c r="M1" s="1"/>
      <c r="N1" s="1"/>
      <c r="O1" s="1"/>
      <c r="P1" s="1"/>
      <c r="Q1" s="1" t="s">
        <v>48</v>
      </c>
      <c r="R1" s="1"/>
      <c r="S1" s="1"/>
      <c r="T1" s="1"/>
    </row>
    <row r="2" spans="1:20" x14ac:dyDescent="0.2">
      <c r="A2" s="1"/>
      <c r="B2" s="1" t="s">
        <v>52</v>
      </c>
      <c r="C2" s="1" t="s">
        <v>53</v>
      </c>
      <c r="D2" s="1" t="s">
        <v>54</v>
      </c>
      <c r="E2" s="1"/>
      <c r="F2" s="1"/>
      <c r="G2" s="1" t="s">
        <v>52</v>
      </c>
      <c r="H2" s="1" t="s">
        <v>53</v>
      </c>
      <c r="I2" s="1" t="s">
        <v>54</v>
      </c>
      <c r="L2" s="1"/>
      <c r="M2" s="1" t="s">
        <v>43</v>
      </c>
      <c r="N2" s="1" t="s">
        <v>44</v>
      </c>
      <c r="O2" s="1" t="s">
        <v>45</v>
      </c>
      <c r="P2" s="1"/>
      <c r="Q2" s="1"/>
      <c r="R2" s="1" t="s">
        <v>43</v>
      </c>
      <c r="S2" s="1" t="s">
        <v>44</v>
      </c>
      <c r="T2" s="1" t="s">
        <v>45</v>
      </c>
    </row>
    <row r="3" spans="1:20" x14ac:dyDescent="0.2">
      <c r="A3">
        <v>1</v>
      </c>
      <c r="B3">
        <v>9</v>
      </c>
      <c r="C3">
        <v>8</v>
      </c>
      <c r="D3" s="3">
        <f>C3/B3</f>
        <v>0.88888888888888884</v>
      </c>
      <c r="F3">
        <v>1</v>
      </c>
      <c r="G3">
        <v>10</v>
      </c>
      <c r="H3">
        <v>0</v>
      </c>
      <c r="I3" s="3">
        <f>H3/G3</f>
        <v>0</v>
      </c>
      <c r="L3">
        <v>1</v>
      </c>
      <c r="M3">
        <v>4</v>
      </c>
      <c r="N3">
        <v>10</v>
      </c>
      <c r="O3" s="3">
        <f>M3/N3</f>
        <v>0.4</v>
      </c>
      <c r="Q3">
        <v>1</v>
      </c>
      <c r="R3">
        <v>5</v>
      </c>
      <c r="S3">
        <v>18</v>
      </c>
      <c r="T3" s="3">
        <f>R3/S3</f>
        <v>0.27777777777777779</v>
      </c>
    </row>
    <row r="4" spans="1:20" x14ac:dyDescent="0.2">
      <c r="A4">
        <v>2</v>
      </c>
      <c r="B4">
        <v>8</v>
      </c>
      <c r="C4">
        <v>7</v>
      </c>
      <c r="D4" s="3">
        <f t="shared" ref="D4:D15" si="0">C4/B4</f>
        <v>0.875</v>
      </c>
      <c r="F4">
        <v>2</v>
      </c>
      <c r="G4">
        <v>7</v>
      </c>
      <c r="H4">
        <v>0</v>
      </c>
      <c r="I4" s="3">
        <f t="shared" ref="I4:I17" si="1">H4/G4</f>
        <v>0</v>
      </c>
      <c r="L4">
        <v>2</v>
      </c>
      <c r="M4">
        <v>9</v>
      </c>
      <c r="N4">
        <v>13</v>
      </c>
      <c r="O4" s="3">
        <f t="shared" ref="O4:O15" si="2">M4/N4</f>
        <v>0.69230769230769229</v>
      </c>
      <c r="Q4">
        <v>2</v>
      </c>
      <c r="R4">
        <v>5</v>
      </c>
      <c r="S4">
        <v>19</v>
      </c>
      <c r="T4" s="3">
        <f t="shared" ref="T4:T24" si="3">R4/S4</f>
        <v>0.26315789473684209</v>
      </c>
    </row>
    <row r="5" spans="1:20" x14ac:dyDescent="0.2">
      <c r="A5">
        <v>3</v>
      </c>
      <c r="B5">
        <v>7</v>
      </c>
      <c r="C5">
        <v>2</v>
      </c>
      <c r="D5" s="3">
        <f t="shared" si="0"/>
        <v>0.2857142857142857</v>
      </c>
      <c r="F5">
        <v>3</v>
      </c>
      <c r="G5">
        <v>9</v>
      </c>
      <c r="H5">
        <v>0</v>
      </c>
      <c r="I5" s="3">
        <f t="shared" si="1"/>
        <v>0</v>
      </c>
      <c r="L5">
        <v>3</v>
      </c>
      <c r="M5">
        <v>7</v>
      </c>
      <c r="N5">
        <v>11</v>
      </c>
      <c r="O5" s="3">
        <f t="shared" si="2"/>
        <v>0.63636363636363635</v>
      </c>
      <c r="Q5">
        <v>3</v>
      </c>
      <c r="R5">
        <v>2</v>
      </c>
      <c r="S5">
        <v>14</v>
      </c>
      <c r="T5" s="3">
        <f t="shared" si="3"/>
        <v>0.14285714285714285</v>
      </c>
    </row>
    <row r="6" spans="1:20" x14ac:dyDescent="0.2">
      <c r="A6">
        <v>4</v>
      </c>
      <c r="B6">
        <v>10</v>
      </c>
      <c r="C6">
        <v>4</v>
      </c>
      <c r="D6" s="3">
        <f t="shared" si="0"/>
        <v>0.4</v>
      </c>
      <c r="F6">
        <v>4</v>
      </c>
      <c r="G6">
        <v>9</v>
      </c>
      <c r="H6">
        <v>0</v>
      </c>
      <c r="I6" s="3">
        <f t="shared" si="1"/>
        <v>0</v>
      </c>
      <c r="L6">
        <v>4</v>
      </c>
      <c r="M6">
        <v>4</v>
      </c>
      <c r="N6">
        <v>9</v>
      </c>
      <c r="O6" s="3">
        <f t="shared" si="2"/>
        <v>0.44444444444444442</v>
      </c>
      <c r="Q6">
        <v>4</v>
      </c>
      <c r="R6">
        <v>4</v>
      </c>
      <c r="S6">
        <v>25</v>
      </c>
      <c r="T6" s="3">
        <f t="shared" si="3"/>
        <v>0.16</v>
      </c>
    </row>
    <row r="7" spans="1:20" x14ac:dyDescent="0.2">
      <c r="A7">
        <v>5</v>
      </c>
      <c r="B7">
        <v>11</v>
      </c>
      <c r="C7">
        <v>3</v>
      </c>
      <c r="D7" s="3">
        <f t="shared" si="0"/>
        <v>0.27272727272727271</v>
      </c>
      <c r="F7">
        <v>5</v>
      </c>
      <c r="G7">
        <v>7</v>
      </c>
      <c r="H7">
        <v>0</v>
      </c>
      <c r="I7" s="3">
        <f t="shared" si="1"/>
        <v>0</v>
      </c>
      <c r="L7">
        <v>5</v>
      </c>
      <c r="M7">
        <v>5</v>
      </c>
      <c r="N7">
        <v>8</v>
      </c>
      <c r="O7" s="3">
        <f t="shared" si="2"/>
        <v>0.625</v>
      </c>
      <c r="Q7">
        <v>5</v>
      </c>
      <c r="R7">
        <v>4</v>
      </c>
      <c r="S7">
        <v>23</v>
      </c>
      <c r="T7" s="3">
        <f t="shared" si="3"/>
        <v>0.17391304347826086</v>
      </c>
    </row>
    <row r="8" spans="1:20" x14ac:dyDescent="0.2">
      <c r="A8">
        <v>6</v>
      </c>
      <c r="B8">
        <v>11</v>
      </c>
      <c r="C8">
        <v>5</v>
      </c>
      <c r="D8" s="3">
        <f t="shared" si="0"/>
        <v>0.45454545454545453</v>
      </c>
      <c r="F8">
        <v>6</v>
      </c>
      <c r="G8">
        <v>7</v>
      </c>
      <c r="H8">
        <v>0</v>
      </c>
      <c r="I8" s="3">
        <f t="shared" si="1"/>
        <v>0</v>
      </c>
      <c r="L8">
        <v>6</v>
      </c>
      <c r="M8">
        <v>5</v>
      </c>
      <c r="N8">
        <v>9</v>
      </c>
      <c r="O8" s="3">
        <f t="shared" si="2"/>
        <v>0.55555555555555558</v>
      </c>
      <c r="Q8">
        <v>6</v>
      </c>
      <c r="R8">
        <v>4</v>
      </c>
      <c r="S8">
        <v>16</v>
      </c>
      <c r="T8" s="3">
        <f t="shared" si="3"/>
        <v>0.25</v>
      </c>
    </row>
    <row r="9" spans="1:20" x14ac:dyDescent="0.2">
      <c r="A9">
        <v>7</v>
      </c>
      <c r="B9">
        <v>7</v>
      </c>
      <c r="C9">
        <v>3</v>
      </c>
      <c r="D9" s="3">
        <f t="shared" si="0"/>
        <v>0.42857142857142855</v>
      </c>
      <c r="F9">
        <v>7</v>
      </c>
      <c r="G9">
        <v>12</v>
      </c>
      <c r="H9">
        <v>0</v>
      </c>
      <c r="I9" s="3">
        <f t="shared" si="1"/>
        <v>0</v>
      </c>
      <c r="L9">
        <v>7</v>
      </c>
      <c r="M9">
        <v>6</v>
      </c>
      <c r="N9">
        <v>9</v>
      </c>
      <c r="O9" s="3">
        <f t="shared" si="2"/>
        <v>0.66666666666666663</v>
      </c>
      <c r="Q9">
        <v>7</v>
      </c>
      <c r="R9">
        <v>9</v>
      </c>
      <c r="S9">
        <v>23</v>
      </c>
      <c r="T9" s="3">
        <f t="shared" si="3"/>
        <v>0.39130434782608697</v>
      </c>
    </row>
    <row r="10" spans="1:20" x14ac:dyDescent="0.2">
      <c r="A10">
        <v>8</v>
      </c>
      <c r="B10">
        <v>7</v>
      </c>
      <c r="C10">
        <v>6</v>
      </c>
      <c r="D10" s="3">
        <f t="shared" si="0"/>
        <v>0.8571428571428571</v>
      </c>
      <c r="F10">
        <v>8</v>
      </c>
      <c r="G10">
        <v>8</v>
      </c>
      <c r="H10">
        <v>0</v>
      </c>
      <c r="I10" s="3">
        <f t="shared" si="1"/>
        <v>0</v>
      </c>
      <c r="L10">
        <v>8</v>
      </c>
      <c r="M10">
        <v>5</v>
      </c>
      <c r="N10">
        <v>10</v>
      </c>
      <c r="O10" s="3">
        <f t="shared" si="2"/>
        <v>0.5</v>
      </c>
      <c r="Q10">
        <v>8</v>
      </c>
      <c r="R10">
        <v>6</v>
      </c>
      <c r="S10">
        <v>22</v>
      </c>
      <c r="T10" s="3">
        <f t="shared" si="3"/>
        <v>0.27272727272727271</v>
      </c>
    </row>
    <row r="11" spans="1:20" x14ac:dyDescent="0.2">
      <c r="A11">
        <v>9</v>
      </c>
      <c r="B11">
        <v>7</v>
      </c>
      <c r="C11">
        <v>4</v>
      </c>
      <c r="D11" s="3">
        <f t="shared" si="0"/>
        <v>0.5714285714285714</v>
      </c>
      <c r="F11">
        <v>9</v>
      </c>
      <c r="G11">
        <v>8</v>
      </c>
      <c r="H11">
        <v>0</v>
      </c>
      <c r="I11" s="3">
        <f t="shared" si="1"/>
        <v>0</v>
      </c>
      <c r="L11">
        <v>9</v>
      </c>
      <c r="M11">
        <v>5</v>
      </c>
      <c r="N11">
        <v>10</v>
      </c>
      <c r="O11" s="3">
        <f t="shared" si="2"/>
        <v>0.5</v>
      </c>
      <c r="Q11">
        <v>9</v>
      </c>
      <c r="R11">
        <v>9</v>
      </c>
      <c r="S11">
        <v>22</v>
      </c>
      <c r="T11" s="3">
        <f t="shared" si="3"/>
        <v>0.40909090909090912</v>
      </c>
    </row>
    <row r="12" spans="1:20" x14ac:dyDescent="0.2">
      <c r="A12">
        <v>10</v>
      </c>
      <c r="B12">
        <v>7</v>
      </c>
      <c r="C12">
        <v>4</v>
      </c>
      <c r="D12" s="3">
        <f t="shared" si="0"/>
        <v>0.5714285714285714</v>
      </c>
      <c r="F12">
        <v>10</v>
      </c>
      <c r="G12">
        <v>7</v>
      </c>
      <c r="H12">
        <v>0</v>
      </c>
      <c r="I12" s="3">
        <f t="shared" si="1"/>
        <v>0</v>
      </c>
      <c r="L12">
        <v>10</v>
      </c>
      <c r="M12">
        <v>5</v>
      </c>
      <c r="N12">
        <v>8</v>
      </c>
      <c r="O12" s="3">
        <f t="shared" si="2"/>
        <v>0.625</v>
      </c>
      <c r="Q12">
        <v>10</v>
      </c>
      <c r="R12">
        <v>7</v>
      </c>
      <c r="S12">
        <v>18</v>
      </c>
      <c r="T12" s="3">
        <f t="shared" si="3"/>
        <v>0.3888888888888889</v>
      </c>
    </row>
    <row r="13" spans="1:20" x14ac:dyDescent="0.2">
      <c r="A13">
        <v>11</v>
      </c>
      <c r="B13">
        <v>7</v>
      </c>
      <c r="C13">
        <v>4</v>
      </c>
      <c r="D13" s="3">
        <f t="shared" si="0"/>
        <v>0.5714285714285714</v>
      </c>
      <c r="F13">
        <v>11</v>
      </c>
      <c r="G13">
        <v>7</v>
      </c>
      <c r="H13">
        <v>0</v>
      </c>
      <c r="I13" s="3">
        <f t="shared" si="1"/>
        <v>0</v>
      </c>
      <c r="L13">
        <v>11</v>
      </c>
      <c r="M13">
        <v>5</v>
      </c>
      <c r="N13">
        <v>14</v>
      </c>
      <c r="O13" s="3">
        <f t="shared" si="2"/>
        <v>0.35714285714285715</v>
      </c>
      <c r="Q13">
        <v>11</v>
      </c>
      <c r="R13">
        <v>6</v>
      </c>
      <c r="S13">
        <v>17</v>
      </c>
      <c r="T13" s="3">
        <f t="shared" si="3"/>
        <v>0.35294117647058826</v>
      </c>
    </row>
    <row r="14" spans="1:20" x14ac:dyDescent="0.2">
      <c r="A14">
        <v>12</v>
      </c>
      <c r="B14">
        <v>7</v>
      </c>
      <c r="C14">
        <v>5</v>
      </c>
      <c r="D14" s="3">
        <f t="shared" si="0"/>
        <v>0.7142857142857143</v>
      </c>
      <c r="F14">
        <v>12</v>
      </c>
      <c r="G14">
        <v>9</v>
      </c>
      <c r="H14">
        <v>0</v>
      </c>
      <c r="I14" s="3">
        <f t="shared" si="1"/>
        <v>0</v>
      </c>
      <c r="L14">
        <v>12</v>
      </c>
      <c r="M14">
        <v>4</v>
      </c>
      <c r="N14">
        <v>11</v>
      </c>
      <c r="O14" s="3">
        <f t="shared" si="2"/>
        <v>0.36363636363636365</v>
      </c>
      <c r="Q14">
        <v>12</v>
      </c>
      <c r="R14">
        <v>7</v>
      </c>
      <c r="S14">
        <v>15</v>
      </c>
      <c r="T14" s="3">
        <f t="shared" si="3"/>
        <v>0.46666666666666667</v>
      </c>
    </row>
    <row r="15" spans="1:20" x14ac:dyDescent="0.2">
      <c r="A15">
        <v>13</v>
      </c>
      <c r="B15">
        <v>7</v>
      </c>
      <c r="C15">
        <v>5</v>
      </c>
      <c r="D15" s="3">
        <f t="shared" si="0"/>
        <v>0.7142857142857143</v>
      </c>
      <c r="F15">
        <v>13</v>
      </c>
      <c r="G15">
        <v>7</v>
      </c>
      <c r="H15">
        <v>0</v>
      </c>
      <c r="I15" s="3">
        <f t="shared" si="1"/>
        <v>0</v>
      </c>
      <c r="L15">
        <v>13</v>
      </c>
      <c r="M15">
        <v>4</v>
      </c>
      <c r="N15">
        <v>15</v>
      </c>
      <c r="O15" s="3">
        <f t="shared" si="2"/>
        <v>0.26666666666666666</v>
      </c>
      <c r="Q15">
        <v>13</v>
      </c>
      <c r="R15">
        <v>5</v>
      </c>
      <c r="S15">
        <v>18</v>
      </c>
      <c r="T15" s="3">
        <f t="shared" si="3"/>
        <v>0.27777777777777779</v>
      </c>
    </row>
    <row r="16" spans="1:20" x14ac:dyDescent="0.2">
      <c r="A16" s="1" t="s">
        <v>46</v>
      </c>
      <c r="D16" s="4">
        <f>AVERAGE(D3:D15)</f>
        <v>0.58503441003440992</v>
      </c>
      <c r="F16">
        <v>14</v>
      </c>
      <c r="G16">
        <v>9</v>
      </c>
      <c r="H16">
        <v>0</v>
      </c>
      <c r="I16" s="3">
        <f t="shared" si="1"/>
        <v>0</v>
      </c>
      <c r="L16" s="1" t="s">
        <v>46</v>
      </c>
      <c r="M16" s="1">
        <f>AVERAGE(M3:M15)</f>
        <v>5.2307692307692308</v>
      </c>
      <c r="N16" s="1">
        <f>AVERAGE(N3:N15)</f>
        <v>10.538461538461538</v>
      </c>
      <c r="O16" s="8">
        <f>AVERAGE(O3:O15)</f>
        <v>0.51021414482952943</v>
      </c>
      <c r="Q16">
        <v>14</v>
      </c>
      <c r="R16">
        <v>11</v>
      </c>
      <c r="S16">
        <v>38</v>
      </c>
      <c r="T16" s="3">
        <f t="shared" si="3"/>
        <v>0.28947368421052633</v>
      </c>
    </row>
    <row r="17" spans="1:20" x14ac:dyDescent="0.2">
      <c r="A17" s="1" t="s">
        <v>47</v>
      </c>
      <c r="D17" s="4">
        <f>STDEV(D3:D15)</f>
        <v>0.21355947655381677</v>
      </c>
      <c r="F17">
        <v>15</v>
      </c>
      <c r="G17">
        <v>13</v>
      </c>
      <c r="H17">
        <v>1</v>
      </c>
      <c r="I17" s="3">
        <f t="shared" si="1"/>
        <v>7.6923076923076927E-2</v>
      </c>
      <c r="L17" s="1" t="s">
        <v>47</v>
      </c>
      <c r="M17" s="1">
        <f>STDEV(M3:M15)</f>
        <v>1.4232501627054279</v>
      </c>
      <c r="N17" s="1">
        <f>STDEV(N3:N15)</f>
        <v>2.221687969967304</v>
      </c>
      <c r="O17" s="8">
        <f>STDEV(O3:O15)</f>
        <v>0.1362807403699125</v>
      </c>
      <c r="Q17">
        <v>15</v>
      </c>
      <c r="R17">
        <v>4</v>
      </c>
      <c r="S17">
        <v>20</v>
      </c>
      <c r="T17" s="3">
        <f t="shared" si="3"/>
        <v>0.2</v>
      </c>
    </row>
    <row r="18" spans="1:20" x14ac:dyDescent="0.2">
      <c r="A18" s="1" t="s">
        <v>19</v>
      </c>
      <c r="D18" s="3">
        <f>D17/SQRT(13)</f>
        <v>5.9230741775079691E-2</v>
      </c>
      <c r="F18" s="1" t="s">
        <v>46</v>
      </c>
      <c r="I18" s="5">
        <f>AVERAGE(I3:I17)</f>
        <v>5.1282051282051282E-3</v>
      </c>
      <c r="L18" s="1" t="s">
        <v>19</v>
      </c>
      <c r="M18" s="1">
        <f>M17/SQRT(13)</f>
        <v>0.39473857226514508</v>
      </c>
      <c r="N18" s="1">
        <f>N17/SQRT(13)</f>
        <v>0.61618537644604732</v>
      </c>
      <c r="O18" s="8">
        <f>O17/SQRT(13)</f>
        <v>3.7797476712454987E-2</v>
      </c>
      <c r="Q18">
        <v>16</v>
      </c>
      <c r="R18">
        <v>7</v>
      </c>
      <c r="S18">
        <v>25</v>
      </c>
      <c r="T18" s="3">
        <f t="shared" si="3"/>
        <v>0.28000000000000003</v>
      </c>
    </row>
    <row r="19" spans="1:20" x14ac:dyDescent="0.2">
      <c r="F19" s="1" t="s">
        <v>47</v>
      </c>
      <c r="I19" s="3">
        <f>STDEV(I3:I17)</f>
        <v>1.9861453057473933E-2</v>
      </c>
      <c r="Q19">
        <v>17</v>
      </c>
      <c r="R19">
        <v>4</v>
      </c>
      <c r="S19">
        <v>15</v>
      </c>
      <c r="T19" s="3">
        <f t="shared" si="3"/>
        <v>0.26666666666666666</v>
      </c>
    </row>
    <row r="20" spans="1:20" x14ac:dyDescent="0.2">
      <c r="F20" s="1" t="s">
        <v>19</v>
      </c>
      <c r="I20" s="3">
        <f>I19/SQRT(15)</f>
        <v>5.1282051282051282E-3</v>
      </c>
      <c r="Q20">
        <v>18</v>
      </c>
      <c r="R20">
        <v>11</v>
      </c>
      <c r="S20">
        <v>27</v>
      </c>
      <c r="T20" s="3">
        <f t="shared" si="3"/>
        <v>0.40740740740740738</v>
      </c>
    </row>
    <row r="21" spans="1:20" x14ac:dyDescent="0.2">
      <c r="Q21">
        <v>19</v>
      </c>
      <c r="R21">
        <v>12</v>
      </c>
      <c r="S21">
        <v>40</v>
      </c>
      <c r="T21" s="3">
        <f t="shared" si="3"/>
        <v>0.3</v>
      </c>
    </row>
    <row r="22" spans="1:20" x14ac:dyDescent="0.2">
      <c r="L22" s="1" t="s">
        <v>49</v>
      </c>
      <c r="M22">
        <f>_xlfn.T.TEST(O3:O15,D3:D15,2,2)</f>
        <v>0.29753773671272266</v>
      </c>
      <c r="Q22">
        <v>20</v>
      </c>
      <c r="R22">
        <v>6</v>
      </c>
      <c r="S22">
        <v>25</v>
      </c>
      <c r="T22" s="3">
        <f t="shared" si="3"/>
        <v>0.24</v>
      </c>
    </row>
    <row r="23" spans="1:20" x14ac:dyDescent="0.2">
      <c r="L23" s="1" t="s">
        <v>50</v>
      </c>
      <c r="M23">
        <f>TDIST(M22,13,2)</f>
        <v>0.77075748327566251</v>
      </c>
      <c r="Q23">
        <v>21</v>
      </c>
      <c r="R23">
        <v>12</v>
      </c>
      <c r="S23">
        <v>40</v>
      </c>
      <c r="T23" s="3">
        <f t="shared" si="3"/>
        <v>0.3</v>
      </c>
    </row>
    <row r="24" spans="1:20" x14ac:dyDescent="0.2">
      <c r="Q24">
        <v>22</v>
      </c>
      <c r="R24">
        <v>7</v>
      </c>
      <c r="S24">
        <v>26</v>
      </c>
      <c r="T24" s="3">
        <f t="shared" si="3"/>
        <v>0.26923076923076922</v>
      </c>
    </row>
    <row r="25" spans="1:20" x14ac:dyDescent="0.2">
      <c r="Q25" s="1" t="s">
        <v>46</v>
      </c>
      <c r="R25" s="1">
        <f>AVERAGE(R3:R24)</f>
        <v>6.6818181818181817</v>
      </c>
      <c r="S25" s="1">
        <f>AVERAGE(S3:S24)</f>
        <v>23</v>
      </c>
      <c r="T25" s="8">
        <f>AVERAGE(T3:T24)</f>
        <v>0.28999461026425383</v>
      </c>
    </row>
    <row r="26" spans="1:20" x14ac:dyDescent="0.2">
      <c r="Q26" s="1" t="s">
        <v>47</v>
      </c>
      <c r="R26" s="1">
        <f>STDEV(R3:R24)</f>
        <v>2.8683222844151817</v>
      </c>
      <c r="S26" s="1">
        <f>STDEV(S3:S24)</f>
        <v>7.6718409040557436</v>
      </c>
      <c r="T26" s="8">
        <f>STDEV(T3:T24)</f>
        <v>8.4516080403037055E-2</v>
      </c>
    </row>
    <row r="27" spans="1:20" x14ac:dyDescent="0.2">
      <c r="Q27" s="1" t="s">
        <v>19</v>
      </c>
      <c r="R27" s="1">
        <f>R26/SQRT(22)</f>
        <v>0.61152836577607772</v>
      </c>
      <c r="S27" s="1">
        <f>S26/SQRT(22)</f>
        <v>1.6356419765109584</v>
      </c>
      <c r="T27" s="8">
        <f>T26/SQRT(22)</f>
        <v>1.8018888885495868E-2</v>
      </c>
    </row>
    <row r="30" spans="1:20" x14ac:dyDescent="0.2">
      <c r="Q30" s="1" t="s">
        <v>49</v>
      </c>
      <c r="R30">
        <f>_xlfn.T.TEST(I3:I17,T3:T24,2,2)</f>
        <v>1.0018816806843065E-14</v>
      </c>
    </row>
    <row r="31" spans="1:20" x14ac:dyDescent="0.2">
      <c r="Q31" s="1" t="s">
        <v>50</v>
      </c>
      <c r="R31">
        <f>TDIST(R30,15,2)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5DA2A-96EC-E943-8D4E-B44482A5BD25}">
  <dimension ref="A1:P39"/>
  <sheetViews>
    <sheetView workbookViewId="0">
      <selection activeCell="P40" sqref="P40"/>
    </sheetView>
  </sheetViews>
  <sheetFormatPr baseColWidth="10" defaultRowHeight="16" x14ac:dyDescent="0.2"/>
  <sheetData>
    <row r="1" spans="1:16" x14ac:dyDescent="0.2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 t="s">
        <v>59</v>
      </c>
      <c r="L1" s="1"/>
      <c r="M1" s="1"/>
    </row>
    <row r="2" spans="1: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x14ac:dyDescent="0.2">
      <c r="A3" s="1" t="s">
        <v>1</v>
      </c>
      <c r="B3" s="1" t="s">
        <v>57</v>
      </c>
      <c r="C3" s="1"/>
      <c r="D3" s="1"/>
      <c r="E3" s="1"/>
      <c r="F3" s="1" t="s">
        <v>58</v>
      </c>
      <c r="G3" s="1" t="s">
        <v>57</v>
      </c>
      <c r="I3" s="1"/>
      <c r="J3" s="1"/>
      <c r="K3" s="1" t="s">
        <v>1</v>
      </c>
      <c r="L3" s="1" t="s">
        <v>57</v>
      </c>
      <c r="M3" s="1"/>
      <c r="O3" s="1" t="s">
        <v>58</v>
      </c>
      <c r="P3" s="1" t="s">
        <v>57</v>
      </c>
    </row>
    <row r="4" spans="1:16" x14ac:dyDescent="0.2">
      <c r="A4">
        <v>1</v>
      </c>
      <c r="B4">
        <v>6</v>
      </c>
      <c r="F4">
        <v>1</v>
      </c>
      <c r="G4">
        <v>1</v>
      </c>
      <c r="K4">
        <v>1</v>
      </c>
      <c r="L4">
        <v>9</v>
      </c>
      <c r="O4">
        <v>1</v>
      </c>
      <c r="P4">
        <v>2</v>
      </c>
    </row>
    <row r="5" spans="1:16" x14ac:dyDescent="0.2">
      <c r="A5">
        <v>2</v>
      </c>
      <c r="B5">
        <v>8</v>
      </c>
      <c r="F5">
        <v>2</v>
      </c>
      <c r="G5">
        <v>1</v>
      </c>
      <c r="K5">
        <v>2</v>
      </c>
      <c r="L5">
        <v>8</v>
      </c>
      <c r="O5">
        <v>2</v>
      </c>
      <c r="P5">
        <v>1</v>
      </c>
    </row>
    <row r="6" spans="1:16" x14ac:dyDescent="0.2">
      <c r="A6">
        <v>3</v>
      </c>
      <c r="B6">
        <v>8</v>
      </c>
      <c r="F6">
        <v>3</v>
      </c>
      <c r="G6">
        <v>1</v>
      </c>
      <c r="K6">
        <v>3</v>
      </c>
      <c r="L6">
        <v>7</v>
      </c>
      <c r="O6">
        <v>3</v>
      </c>
      <c r="P6">
        <v>2</v>
      </c>
    </row>
    <row r="7" spans="1:16" x14ac:dyDescent="0.2">
      <c r="A7">
        <v>4</v>
      </c>
      <c r="B7">
        <v>7</v>
      </c>
      <c r="F7">
        <v>4</v>
      </c>
      <c r="G7">
        <v>0</v>
      </c>
      <c r="K7">
        <v>4</v>
      </c>
      <c r="L7">
        <v>8</v>
      </c>
      <c r="O7">
        <v>4</v>
      </c>
      <c r="P7">
        <v>2</v>
      </c>
    </row>
    <row r="8" spans="1:16" x14ac:dyDescent="0.2">
      <c r="A8">
        <v>5</v>
      </c>
      <c r="B8">
        <v>7</v>
      </c>
      <c r="F8">
        <v>5</v>
      </c>
      <c r="G8">
        <v>2</v>
      </c>
      <c r="K8">
        <v>5</v>
      </c>
      <c r="L8">
        <v>8</v>
      </c>
      <c r="O8">
        <v>5</v>
      </c>
      <c r="P8">
        <v>7</v>
      </c>
    </row>
    <row r="9" spans="1:16" x14ac:dyDescent="0.2">
      <c r="A9">
        <v>6</v>
      </c>
      <c r="B9">
        <v>11</v>
      </c>
      <c r="F9">
        <v>6</v>
      </c>
      <c r="G9">
        <v>1</v>
      </c>
      <c r="K9">
        <v>6</v>
      </c>
      <c r="L9">
        <v>6</v>
      </c>
      <c r="O9">
        <v>6</v>
      </c>
      <c r="P9">
        <v>8</v>
      </c>
    </row>
    <row r="10" spans="1:16" x14ac:dyDescent="0.2">
      <c r="A10">
        <v>7</v>
      </c>
      <c r="B10">
        <v>10</v>
      </c>
      <c r="F10">
        <v>7</v>
      </c>
      <c r="G10">
        <v>1</v>
      </c>
      <c r="K10">
        <v>7</v>
      </c>
      <c r="L10">
        <v>8</v>
      </c>
      <c r="O10">
        <v>7</v>
      </c>
      <c r="P10">
        <v>6</v>
      </c>
    </row>
    <row r="11" spans="1:16" x14ac:dyDescent="0.2">
      <c r="A11">
        <v>8</v>
      </c>
      <c r="B11">
        <v>5</v>
      </c>
      <c r="F11">
        <v>8</v>
      </c>
      <c r="G11">
        <v>0</v>
      </c>
      <c r="K11">
        <v>8</v>
      </c>
      <c r="L11">
        <v>10</v>
      </c>
      <c r="O11">
        <v>8</v>
      </c>
      <c r="P11">
        <v>2</v>
      </c>
    </row>
    <row r="12" spans="1:16" x14ac:dyDescent="0.2">
      <c r="A12">
        <v>9</v>
      </c>
      <c r="B12">
        <v>7</v>
      </c>
      <c r="F12">
        <v>9</v>
      </c>
      <c r="G12">
        <v>1</v>
      </c>
      <c r="I12" s="9"/>
      <c r="K12">
        <v>9</v>
      </c>
      <c r="L12">
        <v>5</v>
      </c>
      <c r="O12">
        <v>9</v>
      </c>
      <c r="P12">
        <v>4</v>
      </c>
    </row>
    <row r="13" spans="1:16" x14ac:dyDescent="0.2">
      <c r="A13">
        <v>10</v>
      </c>
      <c r="B13">
        <v>8</v>
      </c>
      <c r="F13">
        <v>10</v>
      </c>
      <c r="G13">
        <v>0</v>
      </c>
      <c r="K13">
        <v>10</v>
      </c>
      <c r="L13">
        <v>7</v>
      </c>
      <c r="O13">
        <v>10</v>
      </c>
      <c r="P13">
        <v>1</v>
      </c>
    </row>
    <row r="14" spans="1:16" x14ac:dyDescent="0.2">
      <c r="A14">
        <v>11</v>
      </c>
      <c r="B14">
        <v>10</v>
      </c>
      <c r="F14">
        <v>11</v>
      </c>
      <c r="G14">
        <v>3</v>
      </c>
      <c r="K14">
        <v>11</v>
      </c>
      <c r="L14">
        <v>7</v>
      </c>
      <c r="O14">
        <v>11</v>
      </c>
      <c r="P14">
        <v>1</v>
      </c>
    </row>
    <row r="15" spans="1:16" x14ac:dyDescent="0.2">
      <c r="A15">
        <v>12</v>
      </c>
      <c r="B15">
        <v>4</v>
      </c>
      <c r="F15">
        <v>12</v>
      </c>
      <c r="G15">
        <v>0</v>
      </c>
      <c r="K15">
        <v>12</v>
      </c>
      <c r="L15">
        <v>6</v>
      </c>
      <c r="O15">
        <v>12</v>
      </c>
      <c r="P15">
        <v>5</v>
      </c>
    </row>
    <row r="16" spans="1:16" x14ac:dyDescent="0.2">
      <c r="A16">
        <v>13</v>
      </c>
      <c r="B16">
        <v>4</v>
      </c>
      <c r="F16">
        <v>13</v>
      </c>
      <c r="G16">
        <v>1</v>
      </c>
      <c r="I16" s="9"/>
      <c r="K16">
        <v>13</v>
      </c>
      <c r="L16">
        <v>8</v>
      </c>
      <c r="O16">
        <v>13</v>
      </c>
      <c r="P16">
        <v>2</v>
      </c>
    </row>
    <row r="17" spans="1:16" x14ac:dyDescent="0.2">
      <c r="A17">
        <v>14</v>
      </c>
      <c r="B17">
        <v>4</v>
      </c>
      <c r="F17">
        <v>14</v>
      </c>
      <c r="G17">
        <v>0</v>
      </c>
      <c r="K17">
        <v>14</v>
      </c>
      <c r="L17">
        <v>5</v>
      </c>
      <c r="O17">
        <v>14</v>
      </c>
      <c r="P17">
        <v>4</v>
      </c>
    </row>
    <row r="18" spans="1:16" x14ac:dyDescent="0.2">
      <c r="A18">
        <v>15</v>
      </c>
      <c r="B18">
        <v>4</v>
      </c>
      <c r="F18">
        <v>15</v>
      </c>
      <c r="G18">
        <v>0</v>
      </c>
      <c r="K18">
        <v>15</v>
      </c>
      <c r="L18">
        <v>12</v>
      </c>
      <c r="O18">
        <v>15</v>
      </c>
      <c r="P18">
        <v>10</v>
      </c>
    </row>
    <row r="19" spans="1:16" x14ac:dyDescent="0.2">
      <c r="A19">
        <v>16</v>
      </c>
      <c r="B19">
        <v>8</v>
      </c>
      <c r="F19">
        <v>16</v>
      </c>
      <c r="G19">
        <v>0</v>
      </c>
      <c r="K19">
        <v>16</v>
      </c>
      <c r="L19">
        <v>6</v>
      </c>
      <c r="O19">
        <v>16</v>
      </c>
      <c r="P19">
        <v>1</v>
      </c>
    </row>
    <row r="20" spans="1:16" x14ac:dyDescent="0.2">
      <c r="A20">
        <v>17</v>
      </c>
      <c r="B20">
        <v>4</v>
      </c>
      <c r="F20">
        <v>17</v>
      </c>
      <c r="G20">
        <v>0</v>
      </c>
      <c r="K20">
        <v>17</v>
      </c>
      <c r="L20">
        <v>8</v>
      </c>
      <c r="O20">
        <v>17</v>
      </c>
      <c r="P20">
        <v>2</v>
      </c>
    </row>
    <row r="21" spans="1:16" x14ac:dyDescent="0.2">
      <c r="A21">
        <v>18</v>
      </c>
      <c r="B21">
        <v>9</v>
      </c>
      <c r="F21">
        <v>18</v>
      </c>
      <c r="G21">
        <v>1</v>
      </c>
      <c r="K21">
        <v>18</v>
      </c>
      <c r="L21">
        <v>6</v>
      </c>
      <c r="O21">
        <v>18</v>
      </c>
      <c r="P21">
        <v>3</v>
      </c>
    </row>
    <row r="22" spans="1:16" x14ac:dyDescent="0.2">
      <c r="A22" s="1" t="s">
        <v>46</v>
      </c>
      <c r="B22">
        <f>AVERAGE(B4:B21)</f>
        <v>6.8888888888888893</v>
      </c>
      <c r="F22">
        <v>19</v>
      </c>
      <c r="G22">
        <v>1</v>
      </c>
      <c r="I22" s="9"/>
      <c r="K22">
        <v>19</v>
      </c>
      <c r="L22">
        <v>11</v>
      </c>
      <c r="O22">
        <v>19</v>
      </c>
      <c r="P22">
        <v>2</v>
      </c>
    </row>
    <row r="23" spans="1:16" x14ac:dyDescent="0.2">
      <c r="A23" s="1" t="s">
        <v>47</v>
      </c>
      <c r="B23">
        <f>STDEV(B4:B21)</f>
        <v>2.3235087282938101</v>
      </c>
      <c r="D23" s="1"/>
      <c r="F23">
        <v>20</v>
      </c>
      <c r="G23">
        <v>1</v>
      </c>
      <c r="I23" s="9"/>
      <c r="K23" s="1" t="s">
        <v>46</v>
      </c>
      <c r="L23">
        <f>AVERAGE(L4:L22)</f>
        <v>7.6315789473684212</v>
      </c>
      <c r="O23">
        <v>20</v>
      </c>
      <c r="P23">
        <v>8</v>
      </c>
    </row>
    <row r="24" spans="1:16" x14ac:dyDescent="0.2">
      <c r="A24" s="1" t="s">
        <v>19</v>
      </c>
      <c r="B24">
        <f>B23/SQRT(18)</f>
        <v>0.54765625930756157</v>
      </c>
      <c r="D24" s="1"/>
      <c r="F24">
        <v>21</v>
      </c>
      <c r="G24">
        <v>1</v>
      </c>
      <c r="I24" s="9"/>
      <c r="K24" s="1" t="s">
        <v>47</v>
      </c>
      <c r="L24">
        <f>STDEV(L4:L22)</f>
        <v>1.8918106058538346</v>
      </c>
      <c r="O24">
        <v>21</v>
      </c>
      <c r="P24">
        <v>2</v>
      </c>
    </row>
    <row r="25" spans="1:16" x14ac:dyDescent="0.2">
      <c r="D25" s="1"/>
      <c r="F25">
        <v>22</v>
      </c>
      <c r="G25">
        <v>1</v>
      </c>
      <c r="I25" s="9"/>
      <c r="J25" s="1"/>
      <c r="K25" s="1" t="s">
        <v>19</v>
      </c>
      <c r="L25">
        <f>L24/SQRT(19)</f>
        <v>0.43401111848606949</v>
      </c>
      <c r="O25">
        <v>22</v>
      </c>
      <c r="P25">
        <v>4</v>
      </c>
    </row>
    <row r="26" spans="1:16" x14ac:dyDescent="0.2">
      <c r="F26" s="1" t="s">
        <v>46</v>
      </c>
      <c r="G26">
        <f>AVERAGE(G4:G25)</f>
        <v>0.77272727272727271</v>
      </c>
      <c r="J26" s="1"/>
      <c r="O26">
        <v>23</v>
      </c>
      <c r="P26">
        <v>2</v>
      </c>
    </row>
    <row r="27" spans="1:16" x14ac:dyDescent="0.2">
      <c r="F27" s="1" t="s">
        <v>47</v>
      </c>
      <c r="G27">
        <f>STDEV(G4:G25)</f>
        <v>0.75162162351482742</v>
      </c>
      <c r="J27" s="1"/>
      <c r="O27">
        <v>24</v>
      </c>
      <c r="P27">
        <v>4</v>
      </c>
    </row>
    <row r="28" spans="1:16" x14ac:dyDescent="0.2">
      <c r="D28" s="1"/>
      <c r="F28" s="1" t="s">
        <v>19</v>
      </c>
      <c r="G28">
        <f>G27/SQRT(22)</f>
        <v>0.16024626856172813</v>
      </c>
      <c r="K28" s="1" t="s">
        <v>49</v>
      </c>
      <c r="L28">
        <f>_xlfn.T.TEST(L4:L22,B4:B21,2,2)</f>
        <v>0.292455853499547</v>
      </c>
      <c r="O28">
        <v>25</v>
      </c>
      <c r="P28">
        <v>1</v>
      </c>
    </row>
    <row r="29" spans="1:16" x14ac:dyDescent="0.2">
      <c r="D29" s="1"/>
      <c r="L29">
        <f>TDIST(L28,18,2)</f>
        <v>0.77328246017254265</v>
      </c>
      <c r="O29">
        <v>26</v>
      </c>
      <c r="P29">
        <v>0</v>
      </c>
    </row>
    <row r="30" spans="1:16" x14ac:dyDescent="0.2">
      <c r="G30" s="1"/>
      <c r="J30" s="1"/>
      <c r="O30">
        <v>27</v>
      </c>
      <c r="P30">
        <v>3</v>
      </c>
    </row>
    <row r="31" spans="1:16" x14ac:dyDescent="0.2">
      <c r="G31" s="1"/>
      <c r="J31" s="1"/>
      <c r="O31">
        <v>28</v>
      </c>
      <c r="P31">
        <v>0</v>
      </c>
    </row>
    <row r="32" spans="1:16" x14ac:dyDescent="0.2">
      <c r="O32">
        <v>29</v>
      </c>
      <c r="P32">
        <v>1</v>
      </c>
    </row>
    <row r="33" spans="15:16" x14ac:dyDescent="0.2">
      <c r="O33" s="1" t="s">
        <v>46</v>
      </c>
      <c r="P33">
        <f>AVERAGE(P4:P32)</f>
        <v>3.103448275862069</v>
      </c>
    </row>
    <row r="34" spans="15:16" x14ac:dyDescent="0.2">
      <c r="O34" s="1" t="s">
        <v>47</v>
      </c>
      <c r="P34">
        <f>STDEV(P4:P32)</f>
        <v>2.5543356361042142</v>
      </c>
    </row>
    <row r="35" spans="15:16" x14ac:dyDescent="0.2">
      <c r="O35" s="1" t="s">
        <v>19</v>
      </c>
      <c r="P35">
        <f>P34/SQRT(29)</f>
        <v>0.47432821976406697</v>
      </c>
    </row>
    <row r="38" spans="15:16" x14ac:dyDescent="0.2">
      <c r="O38" s="1" t="s">
        <v>49</v>
      </c>
      <c r="P38">
        <f>_xlfn.T.TEST(P4:P32,G4:G25,2,2)</f>
        <v>1.3763450683578569E-4</v>
      </c>
    </row>
    <row r="39" spans="15:16" x14ac:dyDescent="0.2">
      <c r="P39">
        <f>TDIST(P38,22,2)</f>
        <v>0.99989142397904174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4627B-74A5-AD4F-85C5-36DEA29A5F59}">
  <dimension ref="A1:L31"/>
  <sheetViews>
    <sheetView tabSelected="1" workbookViewId="0">
      <selection activeCell="A29" sqref="A29:D30"/>
    </sheetView>
  </sheetViews>
  <sheetFormatPr baseColWidth="10" defaultRowHeight="16" x14ac:dyDescent="0.2"/>
  <cols>
    <col min="4" max="4" width="12.1640625" bestFit="1" customWidth="1"/>
  </cols>
  <sheetData>
    <row r="1" spans="1:12" x14ac:dyDescent="0.2">
      <c r="A1" t="s">
        <v>61</v>
      </c>
      <c r="H1" t="s">
        <v>64</v>
      </c>
    </row>
    <row r="2" spans="1:12" x14ac:dyDescent="0.2">
      <c r="A2" t="s">
        <v>42</v>
      </c>
      <c r="B2" t="s">
        <v>62</v>
      </c>
      <c r="D2" t="s">
        <v>48</v>
      </c>
      <c r="E2" t="s">
        <v>60</v>
      </c>
      <c r="H2" t="s">
        <v>63</v>
      </c>
      <c r="I2" t="s">
        <v>62</v>
      </c>
      <c r="K2" t="s">
        <v>65</v>
      </c>
      <c r="L2" t="s">
        <v>62</v>
      </c>
    </row>
    <row r="3" spans="1:12" x14ac:dyDescent="0.2">
      <c r="A3">
        <v>1</v>
      </c>
      <c r="B3">
        <v>3</v>
      </c>
      <c r="D3">
        <v>1</v>
      </c>
      <c r="E3">
        <v>9</v>
      </c>
      <c r="H3">
        <v>1</v>
      </c>
      <c r="I3">
        <v>4</v>
      </c>
      <c r="K3">
        <v>1</v>
      </c>
      <c r="L3">
        <v>4</v>
      </c>
    </row>
    <row r="4" spans="1:12" x14ac:dyDescent="0.2">
      <c r="A4">
        <v>2</v>
      </c>
      <c r="B4">
        <v>4</v>
      </c>
      <c r="D4">
        <v>2</v>
      </c>
      <c r="E4">
        <v>11</v>
      </c>
      <c r="H4">
        <v>2</v>
      </c>
      <c r="I4">
        <v>4</v>
      </c>
      <c r="K4">
        <v>2</v>
      </c>
      <c r="L4">
        <v>4</v>
      </c>
    </row>
    <row r="5" spans="1:12" x14ac:dyDescent="0.2">
      <c r="A5">
        <v>3</v>
      </c>
      <c r="B5">
        <v>3</v>
      </c>
      <c r="D5">
        <v>3</v>
      </c>
      <c r="E5">
        <v>14</v>
      </c>
      <c r="H5">
        <v>3</v>
      </c>
      <c r="I5">
        <v>2</v>
      </c>
      <c r="K5">
        <v>3</v>
      </c>
      <c r="L5">
        <v>4</v>
      </c>
    </row>
    <row r="6" spans="1:12" x14ac:dyDescent="0.2">
      <c r="A6">
        <v>4</v>
      </c>
      <c r="B6">
        <v>4</v>
      </c>
      <c r="D6">
        <v>4</v>
      </c>
      <c r="E6">
        <v>11</v>
      </c>
      <c r="H6">
        <v>4</v>
      </c>
      <c r="I6">
        <v>4</v>
      </c>
      <c r="K6">
        <v>4</v>
      </c>
      <c r="L6">
        <v>6</v>
      </c>
    </row>
    <row r="7" spans="1:12" x14ac:dyDescent="0.2">
      <c r="A7">
        <v>5</v>
      </c>
      <c r="B7">
        <v>5</v>
      </c>
      <c r="D7">
        <v>5</v>
      </c>
      <c r="E7">
        <v>12</v>
      </c>
      <c r="H7">
        <v>5</v>
      </c>
      <c r="I7">
        <v>5</v>
      </c>
      <c r="K7">
        <v>5</v>
      </c>
      <c r="L7">
        <v>4</v>
      </c>
    </row>
    <row r="8" spans="1:12" x14ac:dyDescent="0.2">
      <c r="A8">
        <v>6</v>
      </c>
      <c r="B8">
        <v>4</v>
      </c>
      <c r="D8">
        <v>6</v>
      </c>
      <c r="E8">
        <v>10</v>
      </c>
      <c r="H8">
        <v>6</v>
      </c>
      <c r="I8">
        <v>2</v>
      </c>
      <c r="K8">
        <v>6</v>
      </c>
      <c r="L8">
        <v>3</v>
      </c>
    </row>
    <row r="9" spans="1:12" x14ac:dyDescent="0.2">
      <c r="A9">
        <v>7</v>
      </c>
      <c r="B9">
        <v>4</v>
      </c>
      <c r="D9">
        <v>7</v>
      </c>
      <c r="E9">
        <v>4</v>
      </c>
      <c r="H9">
        <v>7</v>
      </c>
      <c r="I9">
        <v>1</v>
      </c>
      <c r="K9">
        <v>7</v>
      </c>
      <c r="L9">
        <v>3</v>
      </c>
    </row>
    <row r="10" spans="1:12" x14ac:dyDescent="0.2">
      <c r="A10">
        <v>8</v>
      </c>
      <c r="B10">
        <v>3</v>
      </c>
      <c r="D10">
        <v>8</v>
      </c>
      <c r="E10">
        <v>10</v>
      </c>
      <c r="H10">
        <v>8</v>
      </c>
      <c r="I10">
        <v>1</v>
      </c>
      <c r="K10">
        <v>8</v>
      </c>
      <c r="L10">
        <v>1</v>
      </c>
    </row>
    <row r="11" spans="1:12" x14ac:dyDescent="0.2">
      <c r="A11">
        <v>9</v>
      </c>
      <c r="B11">
        <v>4</v>
      </c>
      <c r="D11">
        <v>9</v>
      </c>
      <c r="E11">
        <v>14</v>
      </c>
      <c r="H11">
        <v>9</v>
      </c>
      <c r="I11">
        <v>3</v>
      </c>
      <c r="K11">
        <v>9</v>
      </c>
      <c r="L11">
        <v>2</v>
      </c>
    </row>
    <row r="12" spans="1:12" x14ac:dyDescent="0.2">
      <c r="A12">
        <v>10</v>
      </c>
      <c r="B12">
        <v>4</v>
      </c>
      <c r="D12">
        <v>10</v>
      </c>
      <c r="E12">
        <v>8</v>
      </c>
      <c r="H12">
        <v>10</v>
      </c>
      <c r="I12">
        <v>5</v>
      </c>
      <c r="K12">
        <v>10</v>
      </c>
      <c r="L12">
        <v>2</v>
      </c>
    </row>
    <row r="13" spans="1:12" x14ac:dyDescent="0.2">
      <c r="A13">
        <v>11</v>
      </c>
      <c r="B13">
        <v>2</v>
      </c>
      <c r="D13">
        <v>11</v>
      </c>
      <c r="E13">
        <v>17</v>
      </c>
      <c r="H13" s="1" t="s">
        <v>46</v>
      </c>
      <c r="I13">
        <f>AVERAGE(I3:I12)</f>
        <v>3.1</v>
      </c>
      <c r="K13">
        <v>11</v>
      </c>
      <c r="L13">
        <v>2</v>
      </c>
    </row>
    <row r="14" spans="1:12" x14ac:dyDescent="0.2">
      <c r="A14">
        <v>12</v>
      </c>
      <c r="B14">
        <v>4</v>
      </c>
      <c r="D14">
        <v>12</v>
      </c>
      <c r="E14">
        <v>10</v>
      </c>
      <c r="H14" s="1" t="s">
        <v>47</v>
      </c>
      <c r="I14">
        <f>STDEV(I3:I12)</f>
        <v>1.5238839267549951</v>
      </c>
      <c r="K14">
        <v>12</v>
      </c>
      <c r="L14">
        <v>3</v>
      </c>
    </row>
    <row r="15" spans="1:12" x14ac:dyDescent="0.2">
      <c r="A15" s="1" t="s">
        <v>46</v>
      </c>
      <c r="B15" s="1">
        <f>AVERAGE(B3:B14)</f>
        <v>3.6666666666666665</v>
      </c>
      <c r="D15">
        <v>13</v>
      </c>
      <c r="E15">
        <v>6</v>
      </c>
      <c r="H15" s="1" t="s">
        <v>19</v>
      </c>
      <c r="I15">
        <f>I14/SQRT(10)</f>
        <v>0.48189440982669873</v>
      </c>
      <c r="K15">
        <v>13</v>
      </c>
      <c r="L15">
        <v>4</v>
      </c>
    </row>
    <row r="16" spans="1:12" x14ac:dyDescent="0.2">
      <c r="A16" s="1" t="s">
        <v>47</v>
      </c>
      <c r="B16" s="1">
        <f>STDEV(B3:B14)</f>
        <v>0.77849894416152243</v>
      </c>
      <c r="D16">
        <v>14</v>
      </c>
      <c r="E16">
        <v>8</v>
      </c>
      <c r="K16">
        <v>14</v>
      </c>
      <c r="L16">
        <v>3</v>
      </c>
    </row>
    <row r="17" spans="1:12" x14ac:dyDescent="0.2">
      <c r="A17" s="1" t="s">
        <v>19</v>
      </c>
      <c r="B17" s="1">
        <f>B16/SQRT(12)</f>
        <v>0.22473328748774721</v>
      </c>
      <c r="D17">
        <v>15</v>
      </c>
      <c r="E17">
        <v>19</v>
      </c>
      <c r="K17">
        <v>15</v>
      </c>
      <c r="L17">
        <v>3</v>
      </c>
    </row>
    <row r="18" spans="1:12" x14ac:dyDescent="0.2">
      <c r="D18">
        <v>16</v>
      </c>
      <c r="E18">
        <v>9</v>
      </c>
      <c r="K18">
        <v>16</v>
      </c>
      <c r="L18">
        <v>5</v>
      </c>
    </row>
    <row r="19" spans="1:12" x14ac:dyDescent="0.2">
      <c r="D19">
        <v>17</v>
      </c>
      <c r="E19">
        <v>6</v>
      </c>
      <c r="K19">
        <v>17</v>
      </c>
      <c r="L19">
        <v>2</v>
      </c>
    </row>
    <row r="20" spans="1:12" x14ac:dyDescent="0.2">
      <c r="D20">
        <v>18</v>
      </c>
      <c r="E20">
        <v>2</v>
      </c>
      <c r="K20">
        <v>18</v>
      </c>
      <c r="L20">
        <v>1</v>
      </c>
    </row>
    <row r="21" spans="1:12" x14ac:dyDescent="0.2">
      <c r="D21" s="1" t="s">
        <v>46</v>
      </c>
      <c r="E21" s="1">
        <f>AVERAGE(E3:E20)</f>
        <v>10</v>
      </c>
      <c r="K21">
        <v>19</v>
      </c>
      <c r="L21">
        <v>0</v>
      </c>
    </row>
    <row r="22" spans="1:12" x14ac:dyDescent="0.2">
      <c r="D22" s="1" t="s">
        <v>47</v>
      </c>
      <c r="E22" s="1">
        <f>STDEV(E3:E20)</f>
        <v>4.2702803324427139</v>
      </c>
      <c r="K22">
        <v>20</v>
      </c>
      <c r="L22">
        <v>2</v>
      </c>
    </row>
    <row r="23" spans="1:12" x14ac:dyDescent="0.2">
      <c r="D23" s="1" t="s">
        <v>19</v>
      </c>
      <c r="E23" s="1">
        <f>E22/SQRT(18)</f>
        <v>1.0065147268792627</v>
      </c>
      <c r="K23">
        <v>21</v>
      </c>
      <c r="L23">
        <v>2</v>
      </c>
    </row>
    <row r="24" spans="1:12" x14ac:dyDescent="0.2">
      <c r="K24">
        <v>22</v>
      </c>
      <c r="L24">
        <v>1</v>
      </c>
    </row>
    <row r="25" spans="1:12" x14ac:dyDescent="0.2">
      <c r="K25">
        <v>23</v>
      </c>
      <c r="L25">
        <v>7</v>
      </c>
    </row>
    <row r="26" spans="1:12" x14ac:dyDescent="0.2">
      <c r="K26" s="1" t="s">
        <v>46</v>
      </c>
      <c r="L26">
        <f>AVERAGE(L3:L25)</f>
        <v>2.9565217391304346</v>
      </c>
    </row>
    <row r="27" spans="1:12" x14ac:dyDescent="0.2">
      <c r="K27" s="1" t="s">
        <v>47</v>
      </c>
      <c r="L27">
        <f>STDEV(L3:L25)</f>
        <v>1.6645572949412983</v>
      </c>
    </row>
    <row r="28" spans="1:12" x14ac:dyDescent="0.2">
      <c r="K28" s="1" t="s">
        <v>19</v>
      </c>
      <c r="L28">
        <f>L27/SQRT(23)</f>
        <v>0.34708418901911425</v>
      </c>
    </row>
    <row r="29" spans="1:12" x14ac:dyDescent="0.2">
      <c r="A29" s="1" t="s">
        <v>49</v>
      </c>
      <c r="B29" s="1">
        <f>_xlfn.T.TEST(B3:B14,I3:I12,2,2)</f>
        <v>0.27296961275133041</v>
      </c>
      <c r="C29" s="1"/>
      <c r="D29" s="1">
        <f>_xlfn.T.TEST(E3:E20,L3:L25,2,2)</f>
        <v>9.5302374868250225E-9</v>
      </c>
    </row>
    <row r="30" spans="1:12" x14ac:dyDescent="0.2">
      <c r="A30" s="1" t="s">
        <v>50</v>
      </c>
      <c r="B30" s="1">
        <f>TDIST(B29,10,2)</f>
        <v>0.79043077642851856</v>
      </c>
      <c r="C30" s="1"/>
      <c r="D30" s="1">
        <f>TDIST(D29,18,2)</f>
        <v>1</v>
      </c>
      <c r="K30" s="1" t="s">
        <v>49</v>
      </c>
      <c r="L30">
        <f>_xlfn.T.TEST('[1]AR, FASN 14d'!B3:B12,L3:L25,2,2)</f>
        <v>0.81721400864678295</v>
      </c>
    </row>
    <row r="31" spans="1:12" x14ac:dyDescent="0.2">
      <c r="L31">
        <f>TDIST(L30,10,2)</f>
        <v>0.43284466090175278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Panel b</vt:lpstr>
      <vt:lpstr>Panel e</vt:lpstr>
      <vt:lpstr>Panel h</vt:lpstr>
      <vt:lpstr>Panel 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Nayab Abidi</dc:creator>
  <cp:lastModifiedBy>Nayab Abidi</cp:lastModifiedBy>
  <dcterms:created xsi:type="dcterms:W3CDTF">2024-09-18T21:14:48Z</dcterms:created>
  <dcterms:modified xsi:type="dcterms:W3CDTF">2024-09-19T18:00:11Z</dcterms:modified>
</cp:coreProperties>
</file>