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30420" windowHeight="17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S24" i="1"/>
  <c r="R24" i="1"/>
  <c r="R28" i="1" l="1"/>
  <c r="J55" i="1" l="1"/>
  <c r="J58" i="1"/>
  <c r="J60" i="1"/>
  <c r="J66" i="1"/>
  <c r="J70" i="1"/>
  <c r="J81" i="1"/>
  <c r="S27" i="1"/>
  <c r="I40" i="1"/>
  <c r="J63" i="1"/>
  <c r="J64" i="1"/>
  <c r="J69" i="1"/>
  <c r="J75" i="1"/>
  <c r="J79" i="1"/>
  <c r="I79" i="1"/>
  <c r="T27" i="1"/>
  <c r="U27" i="1"/>
  <c r="R27" i="1"/>
  <c r="Y21" i="1" l="1"/>
  <c r="Z21" i="1"/>
  <c r="AA21" i="1"/>
  <c r="X21" i="1"/>
  <c r="AB12" i="1"/>
  <c r="Y20" i="1"/>
  <c r="Z20" i="1"/>
  <c r="AA20" i="1"/>
  <c r="X20" i="1"/>
  <c r="Y19" i="1"/>
  <c r="Z19" i="1"/>
  <c r="AA19" i="1"/>
  <c r="X19" i="1"/>
  <c r="Y18" i="1"/>
  <c r="Z18" i="1"/>
  <c r="AA18" i="1"/>
  <c r="X18" i="1"/>
  <c r="Y17" i="1"/>
  <c r="Z17" i="1"/>
  <c r="AA17" i="1"/>
  <c r="X17" i="1"/>
  <c r="Y16" i="1"/>
  <c r="Z16" i="1"/>
  <c r="X16" i="1"/>
  <c r="Y15" i="1"/>
  <c r="Z15" i="1"/>
  <c r="AA15" i="1"/>
  <c r="X15" i="1"/>
  <c r="Z14" i="1"/>
  <c r="AA14" i="1"/>
  <c r="X14" i="1"/>
  <c r="Y13" i="1"/>
  <c r="Z13" i="1"/>
  <c r="X13" i="1"/>
  <c r="AB5" i="1"/>
  <c r="AB6" i="1"/>
  <c r="AB7" i="1"/>
  <c r="AB8" i="1"/>
  <c r="AB9" i="1"/>
  <c r="AB10" i="1"/>
  <c r="AB11" i="1"/>
  <c r="AB4" i="1"/>
  <c r="U28" i="1"/>
  <c r="T28" i="1"/>
  <c r="S28" i="1"/>
  <c r="Z24" i="1" l="1"/>
  <c r="Z23" i="1"/>
  <c r="Y24" i="1"/>
  <c r="Y23" i="1"/>
  <c r="X23" i="1"/>
  <c r="X24" i="1"/>
  <c r="AA24" i="1"/>
  <c r="AA23" i="1"/>
  <c r="T24" i="1"/>
  <c r="J80" i="1" l="1"/>
  <c r="J82" i="1"/>
  <c r="J76" i="1"/>
  <c r="J77" i="1"/>
  <c r="J78" i="1"/>
  <c r="I75" i="1"/>
  <c r="J71" i="1" l="1"/>
  <c r="J72" i="1"/>
  <c r="I69" i="1"/>
  <c r="I64" i="1"/>
  <c r="J57" i="1" l="1"/>
  <c r="J59" i="1"/>
  <c r="J56" i="1"/>
  <c r="I56" i="1"/>
  <c r="J65" i="1"/>
  <c r="J67" i="1"/>
  <c r="J61" i="1"/>
  <c r="J62" i="1"/>
  <c r="I60" i="1"/>
  <c r="J21" i="1" l="1"/>
  <c r="J22" i="1"/>
  <c r="J23" i="1"/>
  <c r="J20" i="1"/>
  <c r="I20" i="1"/>
  <c r="J9" i="1"/>
  <c r="I9" i="1"/>
  <c r="J41" i="1"/>
  <c r="J42" i="1"/>
  <c r="J43" i="1"/>
  <c r="J40" i="1"/>
  <c r="J37" i="1"/>
  <c r="J38" i="1"/>
  <c r="J39" i="1"/>
  <c r="J36" i="1"/>
  <c r="I36" i="1"/>
  <c r="J29" i="1"/>
  <c r="J30" i="1"/>
  <c r="J28" i="1"/>
  <c r="I28" i="1"/>
  <c r="J25" i="1"/>
  <c r="J26" i="1"/>
  <c r="J27" i="1"/>
  <c r="J24" i="1"/>
  <c r="I24" i="1"/>
  <c r="J17" i="1"/>
  <c r="J18" i="1"/>
  <c r="J19" i="1"/>
  <c r="J16" i="1"/>
  <c r="I16" i="1"/>
  <c r="J14" i="1"/>
  <c r="J15" i="1"/>
  <c r="J13" i="1"/>
  <c r="I13" i="1"/>
  <c r="J53" i="1"/>
  <c r="J54" i="1"/>
  <c r="J52" i="1"/>
  <c r="I52" i="1"/>
  <c r="J50" i="1"/>
  <c r="J51" i="1"/>
  <c r="J49" i="1"/>
  <c r="I49" i="1"/>
  <c r="L3" i="1" l="1"/>
  <c r="L48" i="1"/>
  <c r="L47" i="1"/>
  <c r="L46" i="1"/>
  <c r="L45" i="1"/>
  <c r="L44" i="1"/>
  <c r="L35" i="1"/>
  <c r="L34" i="1"/>
  <c r="L33" i="1"/>
  <c r="L32" i="1"/>
  <c r="L23" i="1"/>
  <c r="L22" i="1"/>
  <c r="L21" i="1"/>
  <c r="L20" i="1"/>
  <c r="L11" i="1"/>
  <c r="L10" i="1"/>
  <c r="L9" i="1"/>
  <c r="L43" i="1"/>
  <c r="L42" i="1"/>
  <c r="L41" i="1"/>
  <c r="L40" i="1"/>
  <c r="L39" i="1"/>
  <c r="L38" i="1"/>
  <c r="L37" i="1"/>
  <c r="L36" i="1"/>
  <c r="L31" i="1"/>
  <c r="L30" i="1"/>
  <c r="L29" i="1"/>
  <c r="L28" i="1"/>
  <c r="L27" i="1"/>
  <c r="L26" i="1"/>
  <c r="L25" i="1"/>
  <c r="L24" i="1"/>
  <c r="L19" i="1"/>
  <c r="L18" i="1"/>
  <c r="L17" i="1"/>
  <c r="L16" i="1"/>
  <c r="L15" i="1"/>
  <c r="L14" i="1"/>
  <c r="L13" i="1"/>
  <c r="L12" i="1"/>
  <c r="L8" i="1"/>
  <c r="M5" i="1"/>
  <c r="L5" i="1" s="1"/>
  <c r="L7" i="1"/>
  <c r="L6" i="1"/>
  <c r="L4" i="1"/>
  <c r="J45" i="1"/>
  <c r="J48" i="1"/>
  <c r="J46" i="1"/>
  <c r="J47" i="1"/>
  <c r="I45" i="1"/>
  <c r="J33" i="1"/>
  <c r="J34" i="1"/>
  <c r="J35" i="1"/>
  <c r="J32" i="1"/>
  <c r="I32" i="1"/>
  <c r="J31" i="1"/>
  <c r="J12" i="1"/>
  <c r="J10" i="1"/>
  <c r="J11" i="1"/>
  <c r="J7" i="1"/>
  <c r="J8" i="1"/>
  <c r="J6" i="1"/>
  <c r="J4" i="1"/>
  <c r="J5" i="1"/>
  <c r="J3" i="1"/>
  <c r="I6" i="1"/>
  <c r="I3" i="1"/>
</calcChain>
</file>

<file path=xl/sharedStrings.xml><?xml version="1.0" encoding="utf-8"?>
<sst xmlns="http://schemas.openxmlformats.org/spreadsheetml/2006/main" count="164" uniqueCount="120">
  <si>
    <t>experimental date</t>
  </si>
  <si>
    <t>mouseID</t>
  </si>
  <si>
    <t>AT342_F</t>
  </si>
  <si>
    <t>cellID</t>
  </si>
  <si>
    <t>AT0528</t>
  </si>
  <si>
    <t>Rs</t>
  </si>
  <si>
    <t>Ri</t>
  </si>
  <si>
    <t>Cm</t>
  </si>
  <si>
    <t>TTX+4AP</t>
  </si>
  <si>
    <t>LED5%</t>
  </si>
  <si>
    <t>LED10%</t>
  </si>
  <si>
    <t>AT0529</t>
  </si>
  <si>
    <t>AT0530</t>
  </si>
  <si>
    <t>AT0531</t>
  </si>
  <si>
    <t>AT0532</t>
  </si>
  <si>
    <t>AT0533</t>
  </si>
  <si>
    <t>NY0452</t>
  </si>
  <si>
    <t>NY0453</t>
  </si>
  <si>
    <t>NY0454</t>
  </si>
  <si>
    <t>AT345_M</t>
  </si>
  <si>
    <t>AT0534</t>
  </si>
  <si>
    <t>average</t>
  </si>
  <si>
    <t>normalized by average</t>
  </si>
  <si>
    <t>AT0535</t>
  </si>
  <si>
    <t>AT0536</t>
  </si>
  <si>
    <t>AT0537</t>
  </si>
  <si>
    <t>AT0538</t>
  </si>
  <si>
    <t>AT0539</t>
  </si>
  <si>
    <t>AT0540</t>
  </si>
  <si>
    <t>AT0541</t>
  </si>
  <si>
    <t>NY0455</t>
  </si>
  <si>
    <t>NY0456</t>
  </si>
  <si>
    <t>NY0457</t>
  </si>
  <si>
    <t>NY0458</t>
  </si>
  <si>
    <t>AT344_M</t>
  </si>
  <si>
    <t>AT0544</t>
  </si>
  <si>
    <t>AT0545</t>
  </si>
  <si>
    <t>AT0546</t>
  </si>
  <si>
    <t>AT0547</t>
  </si>
  <si>
    <t>AT0548</t>
  </si>
  <si>
    <t>AT0549</t>
  </si>
  <si>
    <t>AT0550</t>
  </si>
  <si>
    <t>AT0551</t>
  </si>
  <si>
    <t>NY0467</t>
  </si>
  <si>
    <t>NY0468</t>
  </si>
  <si>
    <t>NY0469</t>
  </si>
  <si>
    <t>NY0470</t>
  </si>
  <si>
    <t>AT343_M</t>
  </si>
  <si>
    <t>AT0552</t>
  </si>
  <si>
    <t>AT0553</t>
  </si>
  <si>
    <t>AT0554</t>
  </si>
  <si>
    <t>AT0555</t>
  </si>
  <si>
    <t>AT0556</t>
  </si>
  <si>
    <t>AT0557</t>
  </si>
  <si>
    <t>AT0558</t>
  </si>
  <si>
    <t>AT0559</t>
  </si>
  <si>
    <t>NY0471</t>
  </si>
  <si>
    <t>NY0472</t>
  </si>
  <si>
    <t>NY0473</t>
  </si>
  <si>
    <t>NY0474</t>
  </si>
  <si>
    <t>NY0475</t>
  </si>
  <si>
    <t>distance from border</t>
  </si>
  <si>
    <t>Layer thickness</t>
  </si>
  <si>
    <t>normalized depth</t>
  </si>
  <si>
    <t>SLM (-), RS (+)</t>
  </si>
  <si>
    <t>*radial axis</t>
  </si>
  <si>
    <t>AT364_F</t>
  </si>
  <si>
    <t>AT0587</t>
  </si>
  <si>
    <t>AT0588</t>
  </si>
  <si>
    <t>AT0589</t>
  </si>
  <si>
    <t>laminer position</t>
  </si>
  <si>
    <t>1: Py layer</t>
  </si>
  <si>
    <t>2:radiatum</t>
  </si>
  <si>
    <t>3:border</t>
  </si>
  <si>
    <t>4: lacnosum</t>
  </si>
  <si>
    <t>Laminar position</t>
  </si>
  <si>
    <t>NY0518</t>
  </si>
  <si>
    <t>NY0519</t>
  </si>
  <si>
    <t>NY0520</t>
  </si>
  <si>
    <t>NY0521</t>
  </si>
  <si>
    <t>AT363_F</t>
  </si>
  <si>
    <t>AT0591</t>
  </si>
  <si>
    <t>AT0592</t>
  </si>
  <si>
    <t>AT0593</t>
  </si>
  <si>
    <t>AT0594</t>
  </si>
  <si>
    <t>AT0595</t>
  </si>
  <si>
    <t>AT0596</t>
  </si>
  <si>
    <t>AT0597</t>
  </si>
  <si>
    <t>AT0598</t>
  </si>
  <si>
    <t>AT0599</t>
  </si>
  <si>
    <t>AT0600</t>
  </si>
  <si>
    <t>AT0601</t>
  </si>
  <si>
    <t>AT0602</t>
  </si>
  <si>
    <t>AT365_F</t>
  </si>
  <si>
    <t>no response in all profiles</t>
  </si>
  <si>
    <t>AT0606</t>
  </si>
  <si>
    <t>AT0607</t>
  </si>
  <si>
    <t>AT0608</t>
  </si>
  <si>
    <t>AT0609</t>
  </si>
  <si>
    <t>AT366_F</t>
  </si>
  <si>
    <t>AT0610</t>
  </si>
  <si>
    <t>AT0611</t>
  </si>
  <si>
    <t>AT0612</t>
  </si>
  <si>
    <t>AT0613</t>
  </si>
  <si>
    <t>NY0531</t>
  </si>
  <si>
    <t>NY0532</t>
  </si>
  <si>
    <t>NY0533</t>
  </si>
  <si>
    <t>NY0535</t>
  </si>
  <si>
    <t>NaN</t>
  </si>
  <si>
    <t>median</t>
  </si>
  <si>
    <t>positive neuron</t>
  </si>
  <si>
    <t>total neuron</t>
  </si>
  <si>
    <t xml:space="preserve">Laminar position  </t>
  </si>
  <si>
    <t>Peak Amplitude</t>
  </si>
  <si>
    <t>connection probability</t>
  </si>
  <si>
    <t>Area</t>
  </si>
  <si>
    <t>1 (Py-SR)</t>
  </si>
  <si>
    <t>2 (SR)</t>
  </si>
  <si>
    <t>3 (SR-SLM)</t>
  </si>
  <si>
    <t>4 (SLM)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</si>
</sst>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Fill="1" applyBorder="1"/>
    <xf numFmtId="2" fontId="0" fillId="0" borderId="1" xfId="0" applyNumberFormat="1" applyFill="1" applyBorder="1"/>
    <xf numFmtId="0" fontId="0" fillId="2" borderId="0" xfId="0" applyFill="1" applyBorder="1"/>
    <xf numFmtId="2" fontId="0" fillId="2" borderId="0" xfId="0" applyNumberFormat="1" applyFill="1"/>
    <xf numFmtId="2" fontId="0" fillId="2" borderId="0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Font="1" applyFill="1" applyBorder="1"/>
    <xf numFmtId="0" fontId="0" fillId="0" borderId="2" xfId="0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3" borderId="0" xfId="0" applyFill="1" applyBorder="1"/>
    <xf numFmtId="0" fontId="0" fillId="3" borderId="0" xfId="0" applyFill="1"/>
    <xf numFmtId="2" fontId="0" fillId="3" borderId="0" xfId="0" applyNumberFormat="1" applyFill="1"/>
    <xf numFmtId="2" fontId="0" fillId="3" borderId="0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2" fillId="0" borderId="0" xfId="0" applyFont="1" applyFill="1" applyBorder="1"/>
    <xf numFmtId="0" fontId="2" fillId="0" borderId="0" xfId="0" applyFont="1"/>
    <xf numFmtId="2" fontId="2" fillId="0" borderId="0" xfId="0" applyNumberFormat="1" applyFont="1" applyFill="1" applyBorder="1"/>
    <xf numFmtId="1" fontId="0" fillId="0" borderId="0" xfId="0" applyNumberFormat="1"/>
    <xf numFmtId="1" fontId="0" fillId="0" borderId="1" xfId="0" applyNumberFormat="1" applyBorder="1"/>
    <xf numFmtId="1" fontId="0" fillId="2" borderId="0" xfId="0" applyNumberFormat="1" applyFill="1"/>
    <xf numFmtId="1" fontId="0" fillId="2" borderId="1" xfId="0" applyNumberFormat="1" applyFill="1" applyBorder="1"/>
    <xf numFmtId="1" fontId="0" fillId="3" borderId="0" xfId="0" applyNumberFormat="1" applyFill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3" borderId="0" xfId="0" applyNumberFormat="1" applyFill="1" applyBorder="1"/>
    <xf numFmtId="1" fontId="0" fillId="3" borderId="1" xfId="0" applyNumberFormat="1" applyFill="1" applyBorder="1"/>
    <xf numFmtId="1" fontId="2" fillId="0" borderId="0" xfId="0" applyNumberFormat="1" applyFont="1" applyFill="1" applyBorder="1"/>
    <xf numFmtId="0" fontId="0" fillId="0" borderId="0" xfId="0" applyBorder="1"/>
    <xf numFmtId="0" fontId="0" fillId="0" borderId="0" xfId="0" applyFont="1" applyBorder="1"/>
    <xf numFmtId="2" fontId="0" fillId="0" borderId="0" xfId="0" applyNumberFormat="1" applyFont="1" applyBorder="1"/>
    <xf numFmtId="0" fontId="0" fillId="0" borderId="5" xfId="0" applyBorder="1"/>
    <xf numFmtId="0" fontId="0" fillId="0" borderId="5" xfId="0" applyFill="1" applyBorder="1"/>
    <xf numFmtId="0" fontId="1" fillId="0" borderId="0" xfId="0" applyFont="1" applyBorder="1"/>
    <xf numFmtId="2" fontId="0" fillId="0" borderId="0" xfId="0" applyNumberFormat="1" applyFont="1" applyFill="1" applyBorder="1"/>
    <xf numFmtId="2" fontId="0" fillId="0" borderId="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1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0809782498118"/>
          <c:y val="3.7037037037037035E-2"/>
          <c:w val="0.89199190217501878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Sheet1!$R$28:$U$28</c:f>
              <c:numCache>
                <c:formatCode>0.00</c:formatCode>
                <c:ptCount val="4"/>
                <c:pt idx="0">
                  <c:v>0.77777777777777779</c:v>
                </c:pt>
                <c:pt idx="1">
                  <c:v>0.75</c:v>
                </c:pt>
                <c:pt idx="2">
                  <c:v>0.88888888888888884</c:v>
                </c:pt>
                <c:pt idx="3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5B5-8C2E-79B7763FB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9155008"/>
        <c:axId val="949154592"/>
      </c:barChart>
      <c:catAx>
        <c:axId val="949155008"/>
        <c:scaling>
          <c:orientation val="minMax"/>
        </c:scaling>
        <c:delete val="1"/>
        <c:axPos val="b"/>
        <c:majorTickMark val="none"/>
        <c:minorTickMark val="none"/>
        <c:tickLblPos val="nextTo"/>
        <c:crossAx val="949154592"/>
        <c:crosses val="autoZero"/>
        <c:auto val="1"/>
        <c:lblAlgn val="ctr"/>
        <c:lblOffset val="100"/>
        <c:noMultiLvlLbl val="0"/>
      </c:catAx>
      <c:valAx>
        <c:axId val="94915459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915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271462</xdr:colOff>
      <xdr:row>29</xdr:row>
      <xdr:rowOff>23812</xdr:rowOff>
    </xdr:from>
    <xdr:to>
      <xdr:col>19</xdr:col>
      <xdr:colOff>500062</xdr:colOff>
      <xdr:row>43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704850</xdr:colOff>
      <xdr:row>45</xdr:row>
      <xdr:rowOff>28575</xdr:rowOff>
    </xdr:from>
    <xdr:to>
      <xdr:col>21</xdr:col>
      <xdr:colOff>257175</xdr:colOff>
      <xdr:row>51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8639175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904875</xdr:colOff>
      <xdr:row>27</xdr:row>
      <xdr:rowOff>0</xdr:rowOff>
    </xdr:from>
    <xdr:to>
      <xdr:col>27</xdr:col>
      <xdr:colOff>800100</xdr:colOff>
      <xdr:row>32</xdr:row>
      <xdr:rowOff>180975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7125" y="5181600"/>
          <a:ext cx="5324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83"/>
  <sheetViews>
    <sheetView tabSelected="1" topLeftCell="H1" workbookViewId="0">
      <selection activeCell="AD14" sqref="AD14"/>
    </sheetView>
  </sheetViews>
  <sheetFormatPr defaultRowHeight="14.4" x14ac:dyDescent="0.3"/>
  <cols>
    <col min="1" max="1" width="15.88671875" bestFit="1" customWidth="1"/>
    <col min="10" max="10" width="20.33203125" bestFit="1" customWidth="1"/>
    <col min="11" max="12" width="20.33203125" customWidth="1"/>
    <col min="13" max="13" width="18.88671875" bestFit="1" customWidth="1"/>
    <col min="14" max="14" width="13.88671875" bestFit="1" customWidth="1"/>
    <col min="15" max="15" width="16.33203125" bestFit="1" customWidth="1"/>
    <col min="16" max="16" width="16.33203125" customWidth="1"/>
    <col min="17" max="17" width="21.44140625" bestFit="1" customWidth="1"/>
    <col min="18" max="28" width="16.33203125" customWidth="1"/>
  </cols>
  <sheetData>
    <row r="1" spans="1:28" ht="15" thickBot="1" x14ac:dyDescent="0.35">
      <c r="D1" s="1" t="s">
        <v>8</v>
      </c>
      <c r="L1" s="1" t="s">
        <v>64</v>
      </c>
      <c r="R1" s="1" t="s">
        <v>113</v>
      </c>
      <c r="X1" s="1" t="s">
        <v>115</v>
      </c>
      <c r="Y1" s="1"/>
      <c r="Z1" s="1"/>
      <c r="AA1" s="1"/>
    </row>
    <row r="2" spans="1:28" x14ac:dyDescent="0.3">
      <c r="A2" s="3" t="s">
        <v>0</v>
      </c>
      <c r="B2" s="3" t="s">
        <v>1</v>
      </c>
      <c r="C2" s="3" t="s">
        <v>3</v>
      </c>
      <c r="D2" s="3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21</v>
      </c>
      <c r="J2" s="7" t="s">
        <v>22</v>
      </c>
      <c r="K2" s="7" t="s">
        <v>70</v>
      </c>
      <c r="L2" s="7" t="s">
        <v>63</v>
      </c>
      <c r="M2" s="7" t="s">
        <v>61</v>
      </c>
      <c r="N2" s="7" t="s">
        <v>62</v>
      </c>
      <c r="O2" s="6"/>
      <c r="P2" s="18" t="s">
        <v>75</v>
      </c>
      <c r="Q2" s="41"/>
      <c r="R2" s="6" t="s">
        <v>112</v>
      </c>
      <c r="S2" s="41"/>
      <c r="T2" s="41"/>
      <c r="U2" s="41"/>
      <c r="V2" s="41"/>
      <c r="X2" s="46" t="s">
        <v>112</v>
      </c>
      <c r="Y2" s="46"/>
      <c r="Z2" s="46"/>
      <c r="AA2" s="46"/>
    </row>
    <row r="3" spans="1:28" x14ac:dyDescent="0.3">
      <c r="A3">
        <v>20230320</v>
      </c>
      <c r="B3" t="s">
        <v>2</v>
      </c>
      <c r="C3" t="s">
        <v>4</v>
      </c>
      <c r="D3">
        <v>23</v>
      </c>
      <c r="E3">
        <v>204</v>
      </c>
      <c r="F3">
        <v>29</v>
      </c>
      <c r="G3">
        <v>0</v>
      </c>
      <c r="H3">
        <v>35.130000000000003</v>
      </c>
      <c r="I3">
        <f>AVERAGE(H3:H5)</f>
        <v>16.34</v>
      </c>
      <c r="J3" s="8">
        <f>H3/16.34</f>
        <v>2.1499388004895961</v>
      </c>
      <c r="K3" s="31">
        <v>4</v>
      </c>
      <c r="L3" s="8">
        <f t="shared" ref="L3:L48" si="0">M3/N3</f>
        <v>-0.39285012767629152</v>
      </c>
      <c r="M3">
        <v>48</v>
      </c>
      <c r="N3">
        <v>-122.184</v>
      </c>
      <c r="P3" s="19" t="s">
        <v>71</v>
      </c>
      <c r="Q3" s="17"/>
      <c r="R3" s="7">
        <v>1</v>
      </c>
      <c r="S3" s="7">
        <v>2</v>
      </c>
      <c r="T3" s="7">
        <v>3</v>
      </c>
      <c r="U3" s="7">
        <v>4</v>
      </c>
      <c r="V3" s="17"/>
      <c r="X3" s="7">
        <v>1</v>
      </c>
      <c r="Y3" s="7">
        <v>2</v>
      </c>
      <c r="Z3" s="7">
        <v>3</v>
      </c>
      <c r="AA3" s="7">
        <v>4</v>
      </c>
    </row>
    <row r="4" spans="1:28" x14ac:dyDescent="0.3">
      <c r="C4" t="s">
        <v>11</v>
      </c>
      <c r="D4">
        <v>15</v>
      </c>
      <c r="E4">
        <v>143</v>
      </c>
      <c r="F4">
        <v>44</v>
      </c>
      <c r="G4">
        <v>0</v>
      </c>
      <c r="H4">
        <v>8.7100000000000009</v>
      </c>
      <c r="J4" s="8">
        <f t="shared" ref="J4:J5" si="1">H4/16.34</f>
        <v>0.53304773561811514</v>
      </c>
      <c r="K4" s="31">
        <v>3</v>
      </c>
      <c r="L4" s="8">
        <f t="shared" si="0"/>
        <v>-0.19781731545171577</v>
      </c>
      <c r="M4">
        <v>25.739000000000001</v>
      </c>
      <c r="N4">
        <v>-130.11500000000001</v>
      </c>
      <c r="P4" s="20" t="s">
        <v>72</v>
      </c>
      <c r="Q4" s="42"/>
      <c r="R4" s="42"/>
      <c r="S4" s="43">
        <v>0.31701346389228885</v>
      </c>
      <c r="T4" s="43">
        <v>0.53304773561811514</v>
      </c>
      <c r="U4" s="43">
        <v>2.1499388004895961</v>
      </c>
      <c r="W4" t="s">
        <v>53</v>
      </c>
      <c r="X4" s="47">
        <v>6.58</v>
      </c>
      <c r="Y4" s="47">
        <v>4.28</v>
      </c>
      <c r="Z4" s="47">
        <v>12.94</v>
      </c>
      <c r="AA4" s="42"/>
      <c r="AB4" s="8">
        <f>AVERAGE(X4:AA4)</f>
        <v>7.9333333333333327</v>
      </c>
    </row>
    <row r="5" spans="1:28" x14ac:dyDescent="0.3">
      <c r="C5" s="2" t="s">
        <v>12</v>
      </c>
      <c r="D5" s="2">
        <v>21</v>
      </c>
      <c r="E5" s="2">
        <v>266</v>
      </c>
      <c r="F5" s="2">
        <v>16</v>
      </c>
      <c r="G5" s="2">
        <v>0</v>
      </c>
      <c r="H5" s="2">
        <v>5.18</v>
      </c>
      <c r="I5" s="2"/>
      <c r="J5" s="9">
        <f t="shared" si="1"/>
        <v>0.31701346389228885</v>
      </c>
      <c r="K5" s="32">
        <v>2</v>
      </c>
      <c r="L5" s="9">
        <f t="shared" si="0"/>
        <v>0.25304086021505373</v>
      </c>
      <c r="M5" s="2">
        <f>58.125-43.417</f>
        <v>14.707999999999998</v>
      </c>
      <c r="N5" s="2">
        <v>58.125</v>
      </c>
      <c r="P5" s="20" t="s">
        <v>73</v>
      </c>
      <c r="Q5" s="42"/>
      <c r="R5" s="42"/>
      <c r="S5" s="43">
        <v>0.23698646836523252</v>
      </c>
      <c r="T5" s="43">
        <v>2.1475070096306252</v>
      </c>
      <c r="U5" s="43">
        <v>0.61550652200414546</v>
      </c>
      <c r="V5" s="42"/>
      <c r="W5" s="42" t="s">
        <v>59</v>
      </c>
      <c r="X5" s="47">
        <v>36.270000000000003</v>
      </c>
      <c r="Y5" s="47"/>
      <c r="Z5" s="47">
        <v>0</v>
      </c>
      <c r="AA5" s="42">
        <v>21.72</v>
      </c>
      <c r="AB5" s="8">
        <f t="shared" ref="AB5:AB11" si="2">AVERAGE(X5:AA5)</f>
        <v>19.330000000000002</v>
      </c>
    </row>
    <row r="6" spans="1:28" ht="15" thickBot="1" x14ac:dyDescent="0.35">
      <c r="C6" s="12" t="s">
        <v>13</v>
      </c>
      <c r="D6" s="12">
        <v>37</v>
      </c>
      <c r="E6" s="12">
        <v>321</v>
      </c>
      <c r="F6" s="12">
        <v>46</v>
      </c>
      <c r="G6" s="12">
        <v>3.12</v>
      </c>
      <c r="H6" s="12">
        <v>6.91</v>
      </c>
      <c r="I6" s="12">
        <f>AVERAGE(H6:H8)</f>
        <v>2.3033333333333332</v>
      </c>
      <c r="J6" s="13">
        <f>H6/2.30333333333333</f>
        <v>3.0000000000000044</v>
      </c>
      <c r="K6" s="33">
        <v>3</v>
      </c>
      <c r="L6" s="14">
        <f t="shared" si="0"/>
        <v>-4.6930552263569569E-2</v>
      </c>
      <c r="M6" s="12">
        <v>4.95</v>
      </c>
      <c r="N6" s="12">
        <v>-105.47499999999999</v>
      </c>
      <c r="P6" s="21" t="s">
        <v>74</v>
      </c>
      <c r="Q6" s="42"/>
      <c r="R6" s="42"/>
      <c r="S6" s="43">
        <v>2.1945729911653347</v>
      </c>
      <c r="T6" s="43">
        <v>0.39608750525872949</v>
      </c>
      <c r="U6" s="43">
        <v>0.40933950357593607</v>
      </c>
      <c r="V6" s="42"/>
      <c r="W6" s="42" t="s">
        <v>78</v>
      </c>
      <c r="X6" s="17">
        <v>8.5299999999999994</v>
      </c>
      <c r="Y6" s="17">
        <v>0</v>
      </c>
      <c r="Z6" s="17">
        <v>2.0299999999999998</v>
      </c>
      <c r="AA6" s="17">
        <v>0</v>
      </c>
      <c r="AB6" s="8">
        <f t="shared" si="2"/>
        <v>2.6399999999999997</v>
      </c>
    </row>
    <row r="7" spans="1:28" x14ac:dyDescent="0.3">
      <c r="C7" s="12" t="s">
        <v>14</v>
      </c>
      <c r="D7" s="12">
        <v>34</v>
      </c>
      <c r="E7" s="12">
        <v>562</v>
      </c>
      <c r="F7" s="12">
        <v>16</v>
      </c>
      <c r="G7" s="12">
        <v>0</v>
      </c>
      <c r="H7" s="12">
        <v>0</v>
      </c>
      <c r="I7" s="12"/>
      <c r="J7" s="13">
        <f t="shared" ref="J7:J8" si="3">H7/2.30333333333333</f>
        <v>0</v>
      </c>
      <c r="K7" s="33">
        <v>2</v>
      </c>
      <c r="L7" s="13">
        <f t="shared" si="0"/>
        <v>0.5730069642384884</v>
      </c>
      <c r="M7" s="12">
        <v>39</v>
      </c>
      <c r="N7" s="12">
        <v>68.061999999999998</v>
      </c>
      <c r="S7" s="8">
        <v>0.25666980677600487</v>
      </c>
      <c r="T7" s="8">
        <v>0</v>
      </c>
      <c r="U7" s="8">
        <v>2.3451350734610048</v>
      </c>
      <c r="W7" t="s">
        <v>84</v>
      </c>
      <c r="X7" s="8">
        <v>4.4400000000000004</v>
      </c>
      <c r="Y7" s="8">
        <v>0</v>
      </c>
      <c r="Z7" s="8">
        <v>7.53</v>
      </c>
      <c r="AB7" s="8">
        <f t="shared" si="2"/>
        <v>3.99</v>
      </c>
    </row>
    <row r="8" spans="1:28" x14ac:dyDescent="0.3">
      <c r="C8" s="15" t="s">
        <v>15</v>
      </c>
      <c r="D8" s="15">
        <v>14</v>
      </c>
      <c r="E8" s="15">
        <v>195</v>
      </c>
      <c r="F8" s="15">
        <v>30</v>
      </c>
      <c r="G8" s="15">
        <v>0</v>
      </c>
      <c r="H8" s="15">
        <v>0</v>
      </c>
      <c r="I8" s="15"/>
      <c r="J8" s="16">
        <f t="shared" si="3"/>
        <v>0</v>
      </c>
      <c r="K8" s="34">
        <v>4</v>
      </c>
      <c r="L8" s="16">
        <f t="shared" si="0"/>
        <v>-0.73853443075905278</v>
      </c>
      <c r="M8" s="15">
        <v>75.911000000000001</v>
      </c>
      <c r="N8" s="15">
        <v>-102.786</v>
      </c>
      <c r="S8" s="8">
        <v>1.5953693495038588</v>
      </c>
      <c r="T8" s="8">
        <v>0.53289231900036749</v>
      </c>
      <c r="U8" s="8">
        <v>0.87173833149577351</v>
      </c>
      <c r="W8" t="s">
        <v>86</v>
      </c>
      <c r="X8" s="8">
        <v>20.79</v>
      </c>
      <c r="Y8" s="8">
        <v>5.13</v>
      </c>
      <c r="Z8" s="8">
        <v>13.78</v>
      </c>
      <c r="AA8" s="8">
        <v>0</v>
      </c>
      <c r="AB8" s="8">
        <f t="shared" si="2"/>
        <v>9.9249999999999989</v>
      </c>
    </row>
    <row r="9" spans="1:28" x14ac:dyDescent="0.3">
      <c r="C9" s="4" t="s">
        <v>16</v>
      </c>
      <c r="D9" s="4">
        <v>40</v>
      </c>
      <c r="E9" s="4">
        <v>312</v>
      </c>
      <c r="F9" s="4">
        <v>17</v>
      </c>
      <c r="G9" s="4">
        <v>10.39</v>
      </c>
      <c r="H9" s="4">
        <v>58.72</v>
      </c>
      <c r="I9" s="4">
        <f>AVERAGE(H9:H11)</f>
        <v>27.343333333333334</v>
      </c>
      <c r="J9" s="8">
        <f>H9/27.3433333333333</f>
        <v>2.1475070096306252</v>
      </c>
      <c r="K9" s="31">
        <v>3</v>
      </c>
      <c r="L9" s="10">
        <f t="shared" si="0"/>
        <v>8.8701109381563017E-2</v>
      </c>
      <c r="M9" s="4">
        <v>10.77</v>
      </c>
      <c r="N9" s="4">
        <v>121.419</v>
      </c>
      <c r="S9" s="8">
        <v>0.37027707808564231</v>
      </c>
      <c r="T9" s="10">
        <v>2.1880772460117548</v>
      </c>
      <c r="U9" s="8">
        <v>0.44164567590260284</v>
      </c>
      <c r="W9" t="s">
        <v>92</v>
      </c>
      <c r="X9" s="8">
        <v>0</v>
      </c>
      <c r="Y9" s="8">
        <v>5.66</v>
      </c>
      <c r="Z9" s="8">
        <v>5.12</v>
      </c>
      <c r="AA9" s="8">
        <v>0</v>
      </c>
      <c r="AB9" s="8">
        <f t="shared" si="2"/>
        <v>2.6950000000000003</v>
      </c>
    </row>
    <row r="10" spans="1:28" x14ac:dyDescent="0.3">
      <c r="C10" s="4" t="s">
        <v>17</v>
      </c>
      <c r="D10" s="4">
        <v>21</v>
      </c>
      <c r="E10" s="4">
        <v>573</v>
      </c>
      <c r="F10" s="4">
        <v>19</v>
      </c>
      <c r="G10" s="4">
        <v>9.9600000000000009</v>
      </c>
      <c r="H10" s="4">
        <v>16.829999999999998</v>
      </c>
      <c r="I10" s="4"/>
      <c r="J10" s="8">
        <f t="shared" ref="J10:J11" si="4">H10/27.3433333333333</f>
        <v>0.61550652200414546</v>
      </c>
      <c r="K10" s="31">
        <v>4</v>
      </c>
      <c r="L10" s="10">
        <f t="shared" si="0"/>
        <v>-0.31840542465020616</v>
      </c>
      <c r="M10" s="4">
        <v>88.090999999999994</v>
      </c>
      <c r="N10" s="4">
        <v>-276.66300000000001</v>
      </c>
      <c r="S10" s="8">
        <v>2.2990307279851514</v>
      </c>
      <c r="T10" s="8">
        <v>0.58445040214477206</v>
      </c>
      <c r="U10" s="8">
        <v>0.11651886987007631</v>
      </c>
      <c r="W10" t="s">
        <v>97</v>
      </c>
      <c r="X10" s="8">
        <v>0</v>
      </c>
      <c r="Y10" s="8">
        <v>12.72</v>
      </c>
      <c r="Z10" s="8">
        <v>13.52</v>
      </c>
      <c r="AA10" s="8">
        <v>0</v>
      </c>
      <c r="AB10" s="8">
        <f t="shared" si="2"/>
        <v>6.5600000000000005</v>
      </c>
    </row>
    <row r="11" spans="1:28" x14ac:dyDescent="0.3">
      <c r="A11" s="2"/>
      <c r="B11" s="2"/>
      <c r="C11" s="5" t="s">
        <v>18</v>
      </c>
      <c r="D11" s="5">
        <v>42</v>
      </c>
      <c r="E11" s="5">
        <v>249</v>
      </c>
      <c r="F11" s="5">
        <v>41</v>
      </c>
      <c r="G11" s="5">
        <v>2.2400000000000002</v>
      </c>
      <c r="H11" s="5">
        <v>6.48</v>
      </c>
      <c r="I11" s="5"/>
      <c r="J11" s="9">
        <f t="shared" si="4"/>
        <v>0.23698646836523252</v>
      </c>
      <c r="K11" s="32">
        <v>2</v>
      </c>
      <c r="L11" s="9">
        <f t="shared" si="0"/>
        <v>0.67075497637834636</v>
      </c>
      <c r="M11" s="5">
        <v>80.501999999999995</v>
      </c>
      <c r="N11" s="5">
        <v>120.017</v>
      </c>
      <c r="S11" s="8">
        <v>0.1977671451355662</v>
      </c>
      <c r="T11" s="8">
        <v>2.8045872256398572</v>
      </c>
      <c r="U11" s="10">
        <v>0.3955342902711324</v>
      </c>
      <c r="W11" t="s">
        <v>102</v>
      </c>
      <c r="X11" s="8">
        <v>7.62</v>
      </c>
      <c r="Y11" s="8">
        <v>10.48</v>
      </c>
      <c r="Z11" s="8">
        <v>13.06</v>
      </c>
      <c r="AA11" s="8">
        <v>5.29</v>
      </c>
      <c r="AB11" s="8">
        <f t="shared" si="2"/>
        <v>9.1125000000000007</v>
      </c>
    </row>
    <row r="12" spans="1:28" ht="15" thickBot="1" x14ac:dyDescent="0.35">
      <c r="A12">
        <v>20230321</v>
      </c>
      <c r="B12" t="s">
        <v>19</v>
      </c>
      <c r="C12" s="22" t="s">
        <v>20</v>
      </c>
      <c r="D12" s="22">
        <v>26</v>
      </c>
      <c r="E12" s="22">
        <v>409</v>
      </c>
      <c r="F12" s="22">
        <v>33</v>
      </c>
      <c r="G12" s="22">
        <v>0</v>
      </c>
      <c r="H12" s="22">
        <v>0</v>
      </c>
      <c r="I12" s="23"/>
      <c r="J12" s="24">
        <f>H12/35.655</f>
        <v>0</v>
      </c>
      <c r="K12" s="35">
        <v>4</v>
      </c>
      <c r="L12" s="24">
        <f t="shared" si="0"/>
        <v>-0.36339894757357238</v>
      </c>
      <c r="M12" s="22">
        <v>46.615000000000002</v>
      </c>
      <c r="N12" s="22">
        <v>-128.27500000000001</v>
      </c>
      <c r="O12" s="23" t="s">
        <v>65</v>
      </c>
      <c r="S12" s="8">
        <v>0.92725460886895861</v>
      </c>
      <c r="T12" s="8">
        <v>1.1400099651220728</v>
      </c>
      <c r="U12" s="8">
        <v>0.93273542600896853</v>
      </c>
      <c r="W12" t="s">
        <v>107</v>
      </c>
      <c r="X12" s="8">
        <v>36.86</v>
      </c>
      <c r="Y12" s="8">
        <v>95.61</v>
      </c>
      <c r="Z12" s="8">
        <v>11.75</v>
      </c>
      <c r="AA12" s="8">
        <v>5.92</v>
      </c>
      <c r="AB12" s="8">
        <f>AVERAGE(X12:AA12)</f>
        <v>37.534999999999997</v>
      </c>
    </row>
    <row r="13" spans="1:28" x14ac:dyDescent="0.3">
      <c r="C13" s="4" t="s">
        <v>23</v>
      </c>
      <c r="D13" s="4">
        <v>24</v>
      </c>
      <c r="E13" s="4">
        <v>237</v>
      </c>
      <c r="F13" s="4">
        <v>23</v>
      </c>
      <c r="G13" s="4">
        <v>11.29</v>
      </c>
      <c r="H13" s="4">
        <v>18.829999999999998</v>
      </c>
      <c r="I13" s="4">
        <f>AVERAGE(H13:H15)</f>
        <v>47.54</v>
      </c>
      <c r="J13" s="8">
        <f>H13/47.54</f>
        <v>0.39608750525872949</v>
      </c>
      <c r="K13" s="31">
        <v>3</v>
      </c>
      <c r="L13" s="8">
        <f t="shared" si="0"/>
        <v>7.797070968734772E-2</v>
      </c>
      <c r="M13" s="4">
        <v>6.08</v>
      </c>
      <c r="N13" s="4">
        <v>77.977999999999994</v>
      </c>
      <c r="S13" s="8">
        <v>0.30369144135141302</v>
      </c>
      <c r="T13" s="8">
        <v>0.98165257024891517</v>
      </c>
      <c r="U13" s="8">
        <v>1.7146557914902441</v>
      </c>
      <c r="X13" s="49">
        <f>X4/7.93333333333333</f>
        <v>0.82941176470588274</v>
      </c>
      <c r="Y13" s="50">
        <f t="shared" ref="Y13:Z13" si="5">Y4/7.93333333333333</f>
        <v>0.53949579831932803</v>
      </c>
      <c r="Z13" s="50">
        <f t="shared" si="5"/>
        <v>1.6310924369747906</v>
      </c>
      <c r="AA13" s="51" t="s">
        <v>108</v>
      </c>
    </row>
    <row r="14" spans="1:28" x14ac:dyDescent="0.3">
      <c r="C14" s="4" t="s">
        <v>24</v>
      </c>
      <c r="D14" s="4">
        <v>21</v>
      </c>
      <c r="E14" s="4">
        <v>150</v>
      </c>
      <c r="F14" s="4">
        <v>32</v>
      </c>
      <c r="G14" s="4">
        <v>0</v>
      </c>
      <c r="H14" s="4">
        <v>104.33</v>
      </c>
      <c r="J14" s="8">
        <f t="shared" ref="J14:J15" si="6">H14/47.54</f>
        <v>2.1945729911653347</v>
      </c>
      <c r="K14" s="31">
        <v>2</v>
      </c>
      <c r="L14" s="8">
        <f t="shared" si="0"/>
        <v>0.75767433454676902</v>
      </c>
      <c r="M14">
        <v>58.694000000000003</v>
      </c>
      <c r="N14">
        <v>77.465999999999994</v>
      </c>
      <c r="Q14" s="4" t="s">
        <v>53</v>
      </c>
      <c r="R14" s="8">
        <v>1.1445112120768008</v>
      </c>
      <c r="S14" s="8">
        <v>0.73120328301333826</v>
      </c>
      <c r="T14" s="8">
        <v>1.1242855049098655</v>
      </c>
      <c r="U14" s="8" t="s">
        <v>108</v>
      </c>
      <c r="X14" s="52">
        <f>X5/19.33</f>
        <v>1.8763579927573724</v>
      </c>
      <c r="Y14" s="48" t="s">
        <v>108</v>
      </c>
      <c r="Z14" s="48">
        <f t="shared" ref="Z14:AA14" si="7">Z5/19.33</f>
        <v>0</v>
      </c>
      <c r="AA14" s="53">
        <f t="shared" si="7"/>
        <v>1.1236420072426281</v>
      </c>
    </row>
    <row r="15" spans="1:28" x14ac:dyDescent="0.3">
      <c r="C15" s="5" t="s">
        <v>25</v>
      </c>
      <c r="D15" s="5">
        <v>15</v>
      </c>
      <c r="E15" s="5">
        <v>187</v>
      </c>
      <c r="F15" s="5">
        <v>36</v>
      </c>
      <c r="G15" s="5">
        <v>10.14</v>
      </c>
      <c r="H15" s="5">
        <v>19.46</v>
      </c>
      <c r="I15" s="2"/>
      <c r="J15" s="9">
        <f t="shared" si="6"/>
        <v>0.40933950357593607</v>
      </c>
      <c r="K15" s="32">
        <v>4</v>
      </c>
      <c r="L15" s="9">
        <f t="shared" si="0"/>
        <v>-0.96760307210877872</v>
      </c>
      <c r="M15" s="2">
        <v>121.828</v>
      </c>
      <c r="N15" s="2">
        <v>-125.907</v>
      </c>
      <c r="Q15" s="4" t="s">
        <v>59</v>
      </c>
      <c r="R15" s="8">
        <v>1.2600253725245663</v>
      </c>
      <c r="S15" s="8" t="s">
        <v>108</v>
      </c>
      <c r="T15" s="8">
        <v>0</v>
      </c>
      <c r="U15" s="8">
        <v>0.39701550304255273</v>
      </c>
      <c r="X15" s="52">
        <f>X6/2.64</f>
        <v>3.2310606060606055</v>
      </c>
      <c r="Y15" s="48">
        <f t="shared" ref="Y15:AA15" si="8">Y6/2.64</f>
        <v>0</v>
      </c>
      <c r="Z15" s="48">
        <f t="shared" si="8"/>
        <v>0.76893939393939381</v>
      </c>
      <c r="AA15" s="53">
        <f t="shared" si="8"/>
        <v>0</v>
      </c>
    </row>
    <row r="16" spans="1:28" x14ac:dyDescent="0.3">
      <c r="C16" s="4" t="s">
        <v>26</v>
      </c>
      <c r="D16" s="4">
        <v>31</v>
      </c>
      <c r="E16" s="4">
        <v>546</v>
      </c>
      <c r="F16" s="4">
        <v>24</v>
      </c>
      <c r="G16" s="4">
        <v>0</v>
      </c>
      <c r="H16" s="4">
        <v>0</v>
      </c>
      <c r="I16">
        <f>AVERAGE(H16:H19)</f>
        <v>25.636050000000001</v>
      </c>
      <c r="J16" s="10">
        <f>H16/25.63605</f>
        <v>0</v>
      </c>
      <c r="K16" s="36">
        <v>3</v>
      </c>
      <c r="L16" s="10">
        <f t="shared" si="0"/>
        <v>-0.17730007706443773</v>
      </c>
      <c r="M16" s="4">
        <v>23.927</v>
      </c>
      <c r="N16" s="4">
        <v>-134.952</v>
      </c>
      <c r="Q16" s="4" t="s">
        <v>78</v>
      </c>
      <c r="R16" s="8">
        <v>3.0476130124430241</v>
      </c>
      <c r="S16" s="8">
        <v>0</v>
      </c>
      <c r="T16" s="8">
        <v>0.95238698755697582</v>
      </c>
      <c r="U16" s="8">
        <v>0</v>
      </c>
      <c r="X16" s="52">
        <f>X7/3.99</f>
        <v>1.112781954887218</v>
      </c>
      <c r="Y16" s="48">
        <f t="shared" ref="Y16:Z16" si="9">Y7/3.99</f>
        <v>0</v>
      </c>
      <c r="Z16" s="48">
        <f t="shared" si="9"/>
        <v>1.887218045112782</v>
      </c>
      <c r="AA16" s="53" t="s">
        <v>108</v>
      </c>
    </row>
    <row r="17" spans="1:27" x14ac:dyDescent="0.3">
      <c r="C17" s="4" t="s">
        <v>27</v>
      </c>
      <c r="D17" s="4">
        <v>12</v>
      </c>
      <c r="E17" s="4">
        <v>113</v>
      </c>
      <c r="F17" s="4">
        <v>57</v>
      </c>
      <c r="G17" s="4">
        <v>0</v>
      </c>
      <c r="H17" s="4">
        <v>6.58</v>
      </c>
      <c r="J17" s="10">
        <f t="shared" ref="J17:J19" si="10">H17/25.63605</f>
        <v>0.25666980677600487</v>
      </c>
      <c r="K17" s="36">
        <v>2</v>
      </c>
      <c r="L17" s="10">
        <f t="shared" si="0"/>
        <v>0.49455922298131538</v>
      </c>
      <c r="M17" s="4">
        <v>30.042000000000002</v>
      </c>
      <c r="N17" s="4">
        <v>60.744999999999997</v>
      </c>
      <c r="Q17" s="4" t="s">
        <v>84</v>
      </c>
      <c r="R17" s="8">
        <v>1.0782341767858354</v>
      </c>
      <c r="S17">
        <v>0</v>
      </c>
      <c r="T17" s="8">
        <v>1.9217658232141646</v>
      </c>
      <c r="U17" t="s">
        <v>108</v>
      </c>
      <c r="X17" s="52">
        <f>X8/9.925</f>
        <v>2.0947103274559193</v>
      </c>
      <c r="Y17" s="48">
        <f t="shared" ref="Y17:AA17" si="11">Y8/9.925</f>
        <v>0.51687657430730471</v>
      </c>
      <c r="Z17" s="48">
        <f t="shared" si="11"/>
        <v>1.3884130982367757</v>
      </c>
      <c r="AA17" s="53">
        <f t="shared" si="11"/>
        <v>0</v>
      </c>
    </row>
    <row r="18" spans="1:27" x14ac:dyDescent="0.3">
      <c r="C18" s="4" t="s">
        <v>28</v>
      </c>
      <c r="D18" s="4">
        <v>25</v>
      </c>
      <c r="E18" s="4">
        <v>204</v>
      </c>
      <c r="F18" s="4">
        <v>41</v>
      </c>
      <c r="G18" s="4">
        <v>0</v>
      </c>
      <c r="H18" s="4">
        <v>60.12</v>
      </c>
      <c r="J18" s="10">
        <f t="shared" si="10"/>
        <v>2.3451350734610048</v>
      </c>
      <c r="K18" s="36">
        <v>4</v>
      </c>
      <c r="L18" s="10">
        <f t="shared" si="0"/>
        <v>-0.56113080240850666</v>
      </c>
      <c r="M18" s="4">
        <v>65.7</v>
      </c>
      <c r="N18" s="4">
        <v>-117.08499999999999</v>
      </c>
      <c r="Q18" s="4" t="s">
        <v>86</v>
      </c>
      <c r="R18" s="8">
        <v>1.8078115537236399</v>
      </c>
      <c r="S18" s="8">
        <v>0.86201426363315881</v>
      </c>
      <c r="T18" s="8">
        <v>1.3301741826432012</v>
      </c>
      <c r="U18">
        <v>0</v>
      </c>
      <c r="X18" s="52">
        <f>X9/2.695</f>
        <v>0</v>
      </c>
      <c r="Y18" s="48">
        <f t="shared" ref="Y18:AA18" si="12">Y9/2.695</f>
        <v>2.1001855287569575</v>
      </c>
      <c r="Z18" s="48">
        <f t="shared" si="12"/>
        <v>1.8998144712430429</v>
      </c>
      <c r="AA18" s="53">
        <f t="shared" si="12"/>
        <v>0</v>
      </c>
    </row>
    <row r="19" spans="1:27" x14ac:dyDescent="0.3">
      <c r="C19" s="5" t="s">
        <v>29</v>
      </c>
      <c r="D19" s="5">
        <v>38</v>
      </c>
      <c r="E19" s="5">
        <v>403</v>
      </c>
      <c r="F19" s="5">
        <v>23</v>
      </c>
      <c r="G19" s="5">
        <v>19.59</v>
      </c>
      <c r="H19" s="5">
        <v>35.844200000000001</v>
      </c>
      <c r="I19" s="2"/>
      <c r="J19" s="11">
        <f t="shared" si="10"/>
        <v>1.39819511976299</v>
      </c>
      <c r="K19" s="37">
        <v>4</v>
      </c>
      <c r="L19" s="11">
        <f t="shared" si="0"/>
        <v>-0.23994238178036889</v>
      </c>
      <c r="M19" s="5">
        <v>28.151</v>
      </c>
      <c r="N19" s="5">
        <v>-117.324</v>
      </c>
      <c r="Q19" s="4" t="s">
        <v>92</v>
      </c>
      <c r="R19" s="8">
        <v>0</v>
      </c>
      <c r="S19" s="8">
        <v>1.7875942122445689</v>
      </c>
      <c r="T19" s="8">
        <v>2.2124057877554311</v>
      </c>
      <c r="U19">
        <v>0</v>
      </c>
      <c r="X19" s="52">
        <f>X10/6.56</f>
        <v>0</v>
      </c>
      <c r="Y19" s="48">
        <f t="shared" ref="Y19:AA19" si="13">Y10/6.56</f>
        <v>1.9390243902439026</v>
      </c>
      <c r="Z19" s="48">
        <f t="shared" si="13"/>
        <v>2.0609756097560976</v>
      </c>
      <c r="AA19" s="53">
        <f t="shared" si="13"/>
        <v>0</v>
      </c>
    </row>
    <row r="20" spans="1:27" x14ac:dyDescent="0.3">
      <c r="C20" s="4" t="s">
        <v>30</v>
      </c>
      <c r="D20" s="4">
        <v>27</v>
      </c>
      <c r="E20" s="4">
        <v>543</v>
      </c>
      <c r="F20" s="4">
        <v>47</v>
      </c>
      <c r="G20" s="4">
        <v>10.45</v>
      </c>
      <c r="H20" s="4">
        <v>29</v>
      </c>
      <c r="I20">
        <f>AVERAGE(H20:H21,H23)</f>
        <v>54.419999999999995</v>
      </c>
      <c r="J20" s="10">
        <f>H20/54.42</f>
        <v>0.53289231900036749</v>
      </c>
      <c r="K20" s="36">
        <v>3</v>
      </c>
      <c r="L20" s="10">
        <f t="shared" si="0"/>
        <v>7.6696675900277012E-2</v>
      </c>
      <c r="M20" s="4">
        <v>8.86</v>
      </c>
      <c r="N20" s="4">
        <v>115.52</v>
      </c>
      <c r="Q20" s="4" t="s">
        <v>97</v>
      </c>
      <c r="R20" s="8">
        <v>0</v>
      </c>
      <c r="S20" s="8">
        <v>1.5449827644986551</v>
      </c>
      <c r="T20" s="8">
        <v>2.4550172355013449</v>
      </c>
      <c r="U20">
        <v>0</v>
      </c>
      <c r="X20" s="52">
        <f>X11/9.1125</f>
        <v>0.83621399176954725</v>
      </c>
      <c r="Y20" s="48">
        <f t="shared" ref="Y20:AA20" si="14">Y11/9.1125</f>
        <v>1.1500685871056242</v>
      </c>
      <c r="Z20" s="48">
        <f t="shared" si="14"/>
        <v>1.433196159122085</v>
      </c>
      <c r="AA20" s="53">
        <f t="shared" si="14"/>
        <v>0.58052126200274345</v>
      </c>
    </row>
    <row r="21" spans="1:27" ht="15" thickBot="1" x14ac:dyDescent="0.35">
      <c r="C21" s="4" t="s">
        <v>31</v>
      </c>
      <c r="D21" s="4">
        <v>28</v>
      </c>
      <c r="E21" s="4">
        <v>677</v>
      </c>
      <c r="F21" s="4">
        <v>30</v>
      </c>
      <c r="G21" s="4">
        <v>38.33</v>
      </c>
      <c r="H21" s="4">
        <v>47.44</v>
      </c>
      <c r="J21" s="10">
        <f t="shared" ref="J21:J23" si="15">H21/54.42</f>
        <v>0.87173833149577351</v>
      </c>
      <c r="K21" s="36">
        <v>4</v>
      </c>
      <c r="L21" s="10">
        <f t="shared" si="0"/>
        <v>-0.24036172171554776</v>
      </c>
      <c r="M21" s="4">
        <v>53</v>
      </c>
      <c r="N21" s="4">
        <v>-220.501</v>
      </c>
      <c r="Q21" s="4" t="s">
        <v>102</v>
      </c>
      <c r="R21" s="8">
        <v>1.1979959646369636</v>
      </c>
      <c r="S21" s="8">
        <v>1.1979959646369636</v>
      </c>
      <c r="T21" s="8">
        <v>1.1232052869104132</v>
      </c>
      <c r="U21" s="8">
        <v>0.48080278381565994</v>
      </c>
      <c r="X21" s="54">
        <f>X12/37.535</f>
        <v>0.98201678433462114</v>
      </c>
      <c r="Y21" s="55">
        <f t="shared" ref="Y21:AA21" si="16">Y12/37.535</f>
        <v>2.5472225922472362</v>
      </c>
      <c r="Z21" s="55">
        <f t="shared" si="16"/>
        <v>0.31304116158252299</v>
      </c>
      <c r="AA21" s="56">
        <f t="shared" si="16"/>
        <v>0.15771946183562011</v>
      </c>
    </row>
    <row r="22" spans="1:27" x14ac:dyDescent="0.3">
      <c r="C22" s="22" t="s">
        <v>32</v>
      </c>
      <c r="D22" s="22">
        <v>34</v>
      </c>
      <c r="E22" s="22">
        <v>293</v>
      </c>
      <c r="F22" s="22">
        <v>47</v>
      </c>
      <c r="G22" s="22">
        <v>8.35</v>
      </c>
      <c r="H22" s="22">
        <v>31.13</v>
      </c>
      <c r="I22" s="23"/>
      <c r="J22" s="25">
        <f t="shared" si="15"/>
        <v>0.57203234105108414</v>
      </c>
      <c r="K22" s="38">
        <v>4</v>
      </c>
      <c r="L22" s="25">
        <f t="shared" si="0"/>
        <v>-0.9710828978210706</v>
      </c>
      <c r="M22" s="22">
        <v>212.941</v>
      </c>
      <c r="N22" s="22">
        <v>-219.28200000000001</v>
      </c>
      <c r="O22" s="23" t="s">
        <v>65</v>
      </c>
      <c r="Q22" s="4" t="s">
        <v>107</v>
      </c>
      <c r="R22" s="8">
        <v>0.83877193141149464</v>
      </c>
      <c r="S22" s="8">
        <v>2.7201421466679605</v>
      </c>
      <c r="T22" s="8">
        <v>0.33885199648055964</v>
      </c>
      <c r="U22" s="8">
        <v>0.10223392543998505</v>
      </c>
    </row>
    <row r="23" spans="1:27" x14ac:dyDescent="0.3">
      <c r="A23" s="2"/>
      <c r="B23" s="2"/>
      <c r="C23" s="5" t="s">
        <v>33</v>
      </c>
      <c r="D23" s="5">
        <v>37</v>
      </c>
      <c r="E23" s="5">
        <v>124</v>
      </c>
      <c r="F23" s="5">
        <v>56</v>
      </c>
      <c r="G23" s="5">
        <v>51.12</v>
      </c>
      <c r="H23" s="5">
        <v>86.82</v>
      </c>
      <c r="I23" s="2"/>
      <c r="J23" s="11">
        <f t="shared" si="15"/>
        <v>1.5953693495038588</v>
      </c>
      <c r="K23" s="37">
        <v>2</v>
      </c>
      <c r="L23" s="11">
        <f t="shared" si="0"/>
        <v>0.6026114844227245</v>
      </c>
      <c r="M23" s="5">
        <v>78.918000000000006</v>
      </c>
      <c r="N23" s="5">
        <v>130.96</v>
      </c>
      <c r="R23" s="8"/>
      <c r="S23" s="8"/>
      <c r="T23" s="8"/>
      <c r="U23" s="8"/>
      <c r="X23" s="8">
        <f>AVERAGE(X13:X21)</f>
        <v>1.2180614913301298</v>
      </c>
      <c r="Y23" s="8">
        <f>AVERAGE(Y13:Y21)</f>
        <v>1.0991091838725442</v>
      </c>
      <c r="Z23" s="8">
        <f>AVERAGE(Z13:Z21)</f>
        <v>1.264743375107499</v>
      </c>
      <c r="AA23" s="8">
        <f t="shared" ref="AA23" si="17">AVERAGE(AA13:AA21)</f>
        <v>0.26598324729728456</v>
      </c>
    </row>
    <row r="24" spans="1:27" x14ac:dyDescent="0.3">
      <c r="A24">
        <v>20230324</v>
      </c>
      <c r="B24" t="s">
        <v>34</v>
      </c>
      <c r="C24" s="4" t="s">
        <v>35</v>
      </c>
      <c r="D24" s="4">
        <v>20</v>
      </c>
      <c r="E24" s="4">
        <v>265</v>
      </c>
      <c r="F24" s="4">
        <v>33</v>
      </c>
      <c r="G24" s="4">
        <v>17.62</v>
      </c>
      <c r="H24" s="4">
        <v>52.12</v>
      </c>
      <c r="I24">
        <f>AVERAGE(H24:H25,H27)</f>
        <v>23.819999999999997</v>
      </c>
      <c r="J24" s="10">
        <f>H24/23.82</f>
        <v>2.1880772460117548</v>
      </c>
      <c r="K24" s="36">
        <v>3</v>
      </c>
      <c r="L24" s="10">
        <f t="shared" si="0"/>
        <v>-0.18175309301970372</v>
      </c>
      <c r="M24" s="4">
        <v>19.039000000000001</v>
      </c>
      <c r="N24" s="4">
        <v>-104.752</v>
      </c>
      <c r="Q24" s="1" t="s">
        <v>109</v>
      </c>
      <c r="R24" s="57">
        <f>MEDIAN(R14:R15,R16:R22)</f>
        <v>1.1445112120768008</v>
      </c>
      <c r="S24" s="57">
        <f>MEDIAN(S14:S15,S16:S22)</f>
        <v>1.0300051141350612</v>
      </c>
      <c r="T24" s="57">
        <f>MEDIAN(T14:T15,T16:T22)</f>
        <v>1.1242855049098655</v>
      </c>
      <c r="U24" s="57">
        <f>MEDIAN(U14:U15,U16:U22)</f>
        <v>0</v>
      </c>
      <c r="W24" s="1" t="s">
        <v>109</v>
      </c>
      <c r="X24" s="57">
        <f>MEDIAN(X13:X21)</f>
        <v>0.98201678433462114</v>
      </c>
      <c r="Y24" s="57">
        <f t="shared" ref="Y24:Z24" si="18">MEDIAN(Y13:Y21)</f>
        <v>0.84478219271247612</v>
      </c>
      <c r="Z24" s="57">
        <f t="shared" si="18"/>
        <v>1.433196159122085</v>
      </c>
      <c r="AA24" s="57">
        <f>MEDIAN(AA13:AA21)</f>
        <v>0</v>
      </c>
    </row>
    <row r="25" spans="1:27" x14ac:dyDescent="0.3">
      <c r="C25" s="4" t="s">
        <v>36</v>
      </c>
      <c r="D25" s="4">
        <v>28</v>
      </c>
      <c r="E25" s="4">
        <v>219</v>
      </c>
      <c r="F25" s="4">
        <v>36</v>
      </c>
      <c r="G25" s="4">
        <v>5.89</v>
      </c>
      <c r="H25" s="4">
        <v>8.82</v>
      </c>
      <c r="J25" s="10">
        <f t="shared" ref="J25:J27" si="19">H25/23.82</f>
        <v>0.37027707808564231</v>
      </c>
      <c r="K25" s="36">
        <v>2</v>
      </c>
      <c r="L25" s="10">
        <f t="shared" si="0"/>
        <v>0.41493425634748105</v>
      </c>
      <c r="M25" s="4">
        <v>19.66</v>
      </c>
      <c r="N25" s="4">
        <v>47.381</v>
      </c>
      <c r="Q25" t="s">
        <v>110</v>
      </c>
      <c r="R25" s="8">
        <v>7</v>
      </c>
      <c r="S25" s="8">
        <v>6</v>
      </c>
      <c r="T25" s="8">
        <v>8</v>
      </c>
      <c r="U25" s="8">
        <v>3</v>
      </c>
    </row>
    <row r="26" spans="1:27" x14ac:dyDescent="0.3">
      <c r="C26" s="22" t="s">
        <v>37</v>
      </c>
      <c r="D26" s="22">
        <v>31</v>
      </c>
      <c r="E26" s="22">
        <v>211</v>
      </c>
      <c r="F26" s="22">
        <v>37</v>
      </c>
      <c r="G26" s="22">
        <v>4.22</v>
      </c>
      <c r="H26" s="22">
        <v>6.69</v>
      </c>
      <c r="I26" s="23"/>
      <c r="J26" s="25">
        <f t="shared" si="19"/>
        <v>0.28085642317380355</v>
      </c>
      <c r="K26" s="38"/>
      <c r="L26" s="25">
        <f t="shared" si="0"/>
        <v>-0.60274522245446394</v>
      </c>
      <c r="M26" s="23">
        <v>64.594999999999999</v>
      </c>
      <c r="N26" s="23">
        <v>-107.16800000000001</v>
      </c>
      <c r="O26" s="23" t="s">
        <v>65</v>
      </c>
      <c r="Q26" t="s">
        <v>111</v>
      </c>
      <c r="R26" s="8">
        <v>9</v>
      </c>
      <c r="S26" s="8">
        <v>8</v>
      </c>
      <c r="T26" s="8">
        <v>9</v>
      </c>
      <c r="U26" s="8">
        <v>7</v>
      </c>
    </row>
    <row r="27" spans="1:27" x14ac:dyDescent="0.3">
      <c r="C27" s="5" t="s">
        <v>38</v>
      </c>
      <c r="D27" s="5">
        <v>22</v>
      </c>
      <c r="E27" s="5">
        <v>186</v>
      </c>
      <c r="F27" s="5">
        <v>35</v>
      </c>
      <c r="G27" s="5">
        <v>7.13</v>
      </c>
      <c r="H27" s="5">
        <v>10.52</v>
      </c>
      <c r="I27" s="2"/>
      <c r="J27" s="11">
        <f t="shared" si="19"/>
        <v>0.44164567590260284</v>
      </c>
      <c r="K27" s="37">
        <v>4</v>
      </c>
      <c r="L27" s="11">
        <f t="shared" si="0"/>
        <v>-0.45733141229464758</v>
      </c>
      <c r="M27" s="2">
        <v>55.231000000000002</v>
      </c>
      <c r="N27" s="2">
        <v>-120.768</v>
      </c>
      <c r="R27" s="8">
        <f>AVERAGE(R14:R22)</f>
        <v>1.1527736915113695</v>
      </c>
      <c r="S27" s="8">
        <f>AVERAGE(S14:S22)</f>
        <v>1.1054915793368307</v>
      </c>
      <c r="T27" s="8">
        <f>AVERAGE(T14:T22)</f>
        <v>1.2731214227746621</v>
      </c>
      <c r="U27" s="8">
        <f t="shared" ref="U27" si="20">AVERAGE(U14:U22)</f>
        <v>0.14000745889974256</v>
      </c>
    </row>
    <row r="28" spans="1:27" x14ac:dyDescent="0.3">
      <c r="C28" s="4" t="s">
        <v>39</v>
      </c>
      <c r="D28" s="4">
        <v>27</v>
      </c>
      <c r="E28" s="4">
        <v>221</v>
      </c>
      <c r="F28" s="4">
        <v>33</v>
      </c>
      <c r="G28" s="4">
        <v>7.92</v>
      </c>
      <c r="H28" s="4">
        <v>28.34</v>
      </c>
      <c r="I28">
        <f>AVERAGE(H28:H30)</f>
        <v>48.49</v>
      </c>
      <c r="J28" s="10">
        <f>H28/48.49</f>
        <v>0.58445040214477206</v>
      </c>
      <c r="K28" s="36">
        <v>3</v>
      </c>
      <c r="L28" s="10">
        <f t="shared" si="0"/>
        <v>-0.22132758958292539</v>
      </c>
      <c r="M28" s="4">
        <v>28.257999999999999</v>
      </c>
      <c r="N28" s="4">
        <v>-127.675</v>
      </c>
      <c r="Q28" t="s">
        <v>114</v>
      </c>
      <c r="R28" s="8">
        <f>R25/9</f>
        <v>0.77777777777777779</v>
      </c>
      <c r="S28" s="8">
        <f>S25/S26</f>
        <v>0.75</v>
      </c>
      <c r="T28" s="8">
        <f>T25/T26</f>
        <v>0.88888888888888884</v>
      </c>
      <c r="U28" s="8">
        <f>U25/U26</f>
        <v>0.42857142857142855</v>
      </c>
    </row>
    <row r="29" spans="1:27" x14ac:dyDescent="0.3">
      <c r="C29" s="4" t="s">
        <v>40</v>
      </c>
      <c r="D29" s="4">
        <v>18</v>
      </c>
      <c r="E29" s="4">
        <v>188</v>
      </c>
      <c r="F29" s="4">
        <v>24</v>
      </c>
      <c r="G29" s="4">
        <v>50.07</v>
      </c>
      <c r="H29" s="4">
        <v>111.48</v>
      </c>
      <c r="J29" s="10">
        <f t="shared" ref="J29:J30" si="21">H29/48.49</f>
        <v>2.2990307279851514</v>
      </c>
      <c r="K29" s="36">
        <v>2</v>
      </c>
      <c r="L29" s="10">
        <f t="shared" si="0"/>
        <v>0.44475920679886688</v>
      </c>
      <c r="M29" s="4">
        <v>24.021000000000001</v>
      </c>
      <c r="N29" s="4">
        <v>54.009</v>
      </c>
    </row>
    <row r="30" spans="1:27" x14ac:dyDescent="0.3">
      <c r="C30" s="4" t="s">
        <v>41</v>
      </c>
      <c r="D30" s="4">
        <v>19</v>
      </c>
      <c r="E30" s="4">
        <v>279</v>
      </c>
      <c r="F30" s="4">
        <v>23</v>
      </c>
      <c r="G30" s="4">
        <v>0</v>
      </c>
      <c r="H30" s="4">
        <v>5.65</v>
      </c>
      <c r="J30" s="10">
        <f t="shared" si="21"/>
        <v>0.11651886987007631</v>
      </c>
      <c r="K30" s="36">
        <v>4</v>
      </c>
      <c r="L30" s="10">
        <f t="shared" si="0"/>
        <v>-0.87741497243416589</v>
      </c>
      <c r="M30" s="4">
        <v>111.086</v>
      </c>
      <c r="N30" s="4">
        <v>-126.60599999999999</v>
      </c>
    </row>
    <row r="31" spans="1:27" x14ac:dyDescent="0.3">
      <c r="C31" s="26" t="s">
        <v>42</v>
      </c>
      <c r="D31" s="26">
        <v>19</v>
      </c>
      <c r="E31" s="26">
        <v>242</v>
      </c>
      <c r="F31" s="26">
        <v>35</v>
      </c>
      <c r="G31" s="26">
        <v>13.04</v>
      </c>
      <c r="H31" s="26">
        <v>26.03</v>
      </c>
      <c r="I31" s="26"/>
      <c r="J31" s="27">
        <f t="shared" ref="J31" si="22">H31/42.875</f>
        <v>0.60711370262390674</v>
      </c>
      <c r="K31" s="39"/>
      <c r="L31" s="27">
        <f t="shared" si="0"/>
        <v>-0.57164244475413106</v>
      </c>
      <c r="M31" s="26">
        <v>71.784000000000006</v>
      </c>
      <c r="N31" s="26">
        <v>-125.575</v>
      </c>
      <c r="O31" s="23" t="s">
        <v>65</v>
      </c>
    </row>
    <row r="32" spans="1:27" x14ac:dyDescent="0.3">
      <c r="C32" s="4" t="s">
        <v>43</v>
      </c>
      <c r="D32" s="4">
        <v>24</v>
      </c>
      <c r="E32" s="4">
        <v>184</v>
      </c>
      <c r="F32" s="4">
        <v>47</v>
      </c>
      <c r="G32" s="4">
        <v>7.4</v>
      </c>
      <c r="H32" s="4">
        <v>13.02</v>
      </c>
      <c r="I32">
        <f>AVERAGE(H32:H35)</f>
        <v>32.917499999999997</v>
      </c>
      <c r="J32" s="10">
        <f>H32/32.9175</f>
        <v>0.3955342902711324</v>
      </c>
      <c r="K32" s="36">
        <v>4</v>
      </c>
      <c r="L32" s="10">
        <f t="shared" si="0"/>
        <v>-0.51901623025844601</v>
      </c>
      <c r="M32" s="4">
        <v>85.51</v>
      </c>
      <c r="N32" s="4">
        <v>-164.75399999999999</v>
      </c>
    </row>
    <row r="33" spans="1:29" x14ac:dyDescent="0.3">
      <c r="C33" s="4" t="s">
        <v>44</v>
      </c>
      <c r="D33" s="4">
        <v>23</v>
      </c>
      <c r="E33" s="4">
        <v>241</v>
      </c>
      <c r="F33" s="4">
        <v>28</v>
      </c>
      <c r="G33" s="4">
        <v>0</v>
      </c>
      <c r="H33" s="4">
        <v>6.51</v>
      </c>
      <c r="J33" s="10">
        <f t="shared" ref="J33:J35" si="23">H33/32.9175</f>
        <v>0.1977671451355662</v>
      </c>
      <c r="K33" s="36">
        <v>2</v>
      </c>
      <c r="L33" s="10">
        <f t="shared" si="0"/>
        <v>0.56112180609030449</v>
      </c>
      <c r="M33" s="4">
        <v>64.125</v>
      </c>
      <c r="N33" s="4">
        <v>114.28</v>
      </c>
    </row>
    <row r="34" spans="1:29" ht="15" thickBot="1" x14ac:dyDescent="0.35">
      <c r="C34" s="22" t="s">
        <v>45</v>
      </c>
      <c r="D34" s="22">
        <v>24</v>
      </c>
      <c r="E34" s="22">
        <v>365</v>
      </c>
      <c r="F34" s="22">
        <v>26</v>
      </c>
      <c r="G34" s="22">
        <v>13.61</v>
      </c>
      <c r="H34" s="23">
        <v>19.82</v>
      </c>
      <c r="I34" s="23"/>
      <c r="J34" s="25">
        <f t="shared" si="23"/>
        <v>0.60211133895344426</v>
      </c>
      <c r="K34" s="38">
        <v>4</v>
      </c>
      <c r="L34" s="25">
        <f t="shared" si="0"/>
        <v>-0.99560013975329997</v>
      </c>
      <c r="M34" s="22">
        <v>168.126</v>
      </c>
      <c r="N34" s="22">
        <v>-168.869</v>
      </c>
      <c r="O34" s="23" t="s">
        <v>65</v>
      </c>
    </row>
    <row r="35" spans="1:29" x14ac:dyDescent="0.3">
      <c r="A35" s="2"/>
      <c r="B35" s="2"/>
      <c r="C35" s="5" t="s">
        <v>46</v>
      </c>
      <c r="D35" s="5">
        <v>25</v>
      </c>
      <c r="E35" s="5">
        <v>277</v>
      </c>
      <c r="F35" s="5">
        <v>43</v>
      </c>
      <c r="G35" s="5">
        <v>67.430000000000007</v>
      </c>
      <c r="H35" s="5">
        <v>92.32</v>
      </c>
      <c r="I35" s="2"/>
      <c r="J35" s="11">
        <f t="shared" si="23"/>
        <v>2.8045872256398572</v>
      </c>
      <c r="K35" s="37">
        <v>3</v>
      </c>
      <c r="L35" s="11">
        <f t="shared" si="0"/>
        <v>7.0303217778277707E-2</v>
      </c>
      <c r="M35" s="5">
        <v>10</v>
      </c>
      <c r="N35" s="5">
        <v>142.24100000000001</v>
      </c>
      <c r="X35" s="58">
        <v>1</v>
      </c>
      <c r="Y35" s="59">
        <v>2</v>
      </c>
      <c r="Z35" s="59">
        <v>-1.00711309261061</v>
      </c>
      <c r="AA35" s="59">
        <v>0.11777777777777799</v>
      </c>
      <c r="AB35" s="59">
        <v>1.24266864816617</v>
      </c>
      <c r="AC35" s="60">
        <v>0.991730927505445</v>
      </c>
    </row>
    <row r="36" spans="1:29" x14ac:dyDescent="0.3">
      <c r="A36">
        <v>20230325</v>
      </c>
      <c r="B36" t="s">
        <v>47</v>
      </c>
      <c r="C36" s="4" t="s">
        <v>48</v>
      </c>
      <c r="D36" s="4">
        <v>30</v>
      </c>
      <c r="E36" s="4">
        <v>188</v>
      </c>
      <c r="F36" s="4">
        <v>42</v>
      </c>
      <c r="G36" s="4">
        <v>7.54</v>
      </c>
      <c r="H36" s="4">
        <v>18.61</v>
      </c>
      <c r="I36">
        <f>AVERAGE(H36:H37,H39)</f>
        <v>20.069999999999997</v>
      </c>
      <c r="J36" s="10">
        <f>H36/20.07</f>
        <v>0.92725460886895861</v>
      </c>
      <c r="K36" s="36">
        <v>2</v>
      </c>
      <c r="L36" s="10">
        <f t="shared" si="0"/>
        <v>8.8365172314485929E-2</v>
      </c>
      <c r="M36" s="4">
        <v>5.5229999999999997</v>
      </c>
      <c r="N36" s="4">
        <v>62.502000000000002</v>
      </c>
      <c r="X36" s="61">
        <v>1</v>
      </c>
      <c r="Y36" s="41">
        <v>3</v>
      </c>
      <c r="Z36" s="41">
        <v>-1.1379711080559201</v>
      </c>
      <c r="AA36" s="41">
        <v>-4.6666666666666599E-2</v>
      </c>
      <c r="AB36" s="41">
        <v>1.0446377747225799</v>
      </c>
      <c r="AC36" s="62">
        <v>0.99942071098040097</v>
      </c>
    </row>
    <row r="37" spans="1:29" x14ac:dyDescent="0.3">
      <c r="C37" s="4" t="s">
        <v>49</v>
      </c>
      <c r="D37" s="4">
        <v>30</v>
      </c>
      <c r="E37" s="4">
        <v>398</v>
      </c>
      <c r="F37" s="4">
        <v>25</v>
      </c>
      <c r="G37" s="4">
        <v>13.43</v>
      </c>
      <c r="H37" s="4">
        <v>22.88</v>
      </c>
      <c r="J37" s="10">
        <f t="shared" ref="J37:J39" si="24">H37/20.07</f>
        <v>1.1400099651220728</v>
      </c>
      <c r="K37" s="36">
        <v>3</v>
      </c>
      <c r="L37" s="10">
        <f t="shared" si="0"/>
        <v>-6.4247863247863246E-2</v>
      </c>
      <c r="M37" s="4">
        <v>7.5170000000000003</v>
      </c>
      <c r="N37" s="4">
        <v>-117</v>
      </c>
      <c r="X37" s="61">
        <v>1</v>
      </c>
      <c r="Y37" s="41">
        <v>4</v>
      </c>
      <c r="Z37" s="41">
        <v>-0.21459002917744899</v>
      </c>
      <c r="AA37" s="41">
        <v>0.95206349206349195</v>
      </c>
      <c r="AB37" s="41">
        <v>2.1187170133044302</v>
      </c>
      <c r="AC37" s="62">
        <v>0.14076224111011401</v>
      </c>
    </row>
    <row r="38" spans="1:29" x14ac:dyDescent="0.3">
      <c r="C38" s="22" t="s">
        <v>50</v>
      </c>
      <c r="D38" s="22">
        <v>12</v>
      </c>
      <c r="E38" s="22">
        <v>136</v>
      </c>
      <c r="F38" s="22">
        <v>56</v>
      </c>
      <c r="G38" s="22">
        <v>12.11</v>
      </c>
      <c r="H38" s="22">
        <v>23.27</v>
      </c>
      <c r="I38" s="23"/>
      <c r="J38" s="25">
        <f t="shared" si="24"/>
        <v>1.1594419531639262</v>
      </c>
      <c r="K38" s="38">
        <v>4</v>
      </c>
      <c r="L38" s="25">
        <f t="shared" si="0"/>
        <v>-0.80456771762067547</v>
      </c>
      <c r="M38" s="23">
        <v>103.325</v>
      </c>
      <c r="N38" s="23">
        <v>-128.423</v>
      </c>
      <c r="O38" s="23" t="s">
        <v>65</v>
      </c>
      <c r="X38" s="61">
        <v>2</v>
      </c>
      <c r="Y38" s="41">
        <v>3</v>
      </c>
      <c r="Z38" s="41">
        <v>-1.2893353148328299</v>
      </c>
      <c r="AA38" s="41">
        <v>-0.164444444444444</v>
      </c>
      <c r="AB38" s="41">
        <v>0.96044642594394403</v>
      </c>
      <c r="AC38" s="62">
        <v>0.97819083786663297</v>
      </c>
    </row>
    <row r="39" spans="1:29" x14ac:dyDescent="0.3">
      <c r="C39" s="5" t="s">
        <v>51</v>
      </c>
      <c r="D39" s="5">
        <v>19</v>
      </c>
      <c r="E39" s="5">
        <v>173</v>
      </c>
      <c r="F39" s="5">
        <v>29</v>
      </c>
      <c r="G39" s="5">
        <v>8.9600000000000009</v>
      </c>
      <c r="H39" s="5">
        <v>18.72</v>
      </c>
      <c r="I39" s="2"/>
      <c r="J39" s="11">
        <f t="shared" si="24"/>
        <v>0.93273542600896853</v>
      </c>
      <c r="K39" s="37">
        <v>4</v>
      </c>
      <c r="L39" s="11">
        <f t="shared" si="0"/>
        <v>-0.57633662718408485</v>
      </c>
      <c r="M39" s="2">
        <v>70.456000000000003</v>
      </c>
      <c r="N39" s="2">
        <v>-122.248</v>
      </c>
      <c r="X39" s="61">
        <v>2</v>
      </c>
      <c r="Y39" s="41">
        <v>4</v>
      </c>
      <c r="Z39" s="41">
        <v>-0.36384388017021602</v>
      </c>
      <c r="AA39" s="41">
        <v>0.83428571428571396</v>
      </c>
      <c r="AB39" s="41">
        <v>2.0324153087416401</v>
      </c>
      <c r="AC39" s="62">
        <v>0.251397679817569</v>
      </c>
    </row>
    <row r="40" spans="1:29" ht="15" thickBot="1" x14ac:dyDescent="0.35">
      <c r="C40" s="4" t="s">
        <v>52</v>
      </c>
      <c r="D40" s="4">
        <v>25</v>
      </c>
      <c r="E40" s="4">
        <v>153</v>
      </c>
      <c r="F40" s="4">
        <v>42</v>
      </c>
      <c r="G40">
        <v>14.17</v>
      </c>
      <c r="H40" s="4">
        <v>25.57</v>
      </c>
      <c r="I40">
        <f>AVERAGE(H40:H41,H43)</f>
        <v>22.743333333333336</v>
      </c>
      <c r="J40" s="10">
        <f>H40/22.7433333333333</f>
        <v>1.1242855049098655</v>
      </c>
      <c r="K40" s="36">
        <v>3</v>
      </c>
      <c r="L40" s="10">
        <f t="shared" si="0"/>
        <v>-7.1763488003897216E-2</v>
      </c>
      <c r="M40" s="4">
        <v>7.0709999999999997</v>
      </c>
      <c r="N40" s="4">
        <v>-98.531999999999996</v>
      </c>
      <c r="X40" s="63">
        <v>3</v>
      </c>
      <c r="Y40" s="64">
        <v>4</v>
      </c>
      <c r="Z40" s="64">
        <v>-0.16792336251078199</v>
      </c>
      <c r="AA40" s="64">
        <v>0.99873015873015902</v>
      </c>
      <c r="AB40" s="64">
        <v>2.1653836799711002</v>
      </c>
      <c r="AC40" s="65">
        <v>0.113937135923003</v>
      </c>
    </row>
    <row r="41" spans="1:29" x14ac:dyDescent="0.3">
      <c r="C41" s="4" t="s">
        <v>53</v>
      </c>
      <c r="D41" s="4">
        <v>35</v>
      </c>
      <c r="E41" s="4">
        <v>285</v>
      </c>
      <c r="F41" s="4">
        <v>67</v>
      </c>
      <c r="G41" s="4">
        <v>0</v>
      </c>
      <c r="H41" s="4">
        <v>26.03</v>
      </c>
      <c r="J41" s="10">
        <f t="shared" ref="J41:J43" si="25">H41/22.7433333333333</f>
        <v>1.1445112120768008</v>
      </c>
      <c r="K41" s="36">
        <v>1</v>
      </c>
      <c r="L41" s="10">
        <f t="shared" si="0"/>
        <v>0.81597122302158276</v>
      </c>
      <c r="M41" s="4">
        <v>51.039000000000001</v>
      </c>
      <c r="N41" s="4">
        <v>62.55</v>
      </c>
    </row>
    <row r="42" spans="1:29" x14ac:dyDescent="0.3">
      <c r="C42" s="22" t="s">
        <v>54</v>
      </c>
      <c r="D42" s="22">
        <v>18</v>
      </c>
      <c r="E42" s="22">
        <v>283</v>
      </c>
      <c r="F42" s="22">
        <v>29</v>
      </c>
      <c r="G42" s="22">
        <v>14.28</v>
      </c>
      <c r="H42" s="22">
        <v>32.78</v>
      </c>
      <c r="I42" s="23"/>
      <c r="J42" s="25">
        <f t="shared" si="25"/>
        <v>1.4413014802872659</v>
      </c>
      <c r="K42" s="38">
        <v>4</v>
      </c>
      <c r="L42" s="25">
        <f t="shared" si="0"/>
        <v>-0.42898568662641123</v>
      </c>
      <c r="M42" s="22">
        <v>48.523000000000003</v>
      </c>
      <c r="N42" s="22">
        <v>-113.111</v>
      </c>
      <c r="O42" s="23" t="s">
        <v>65</v>
      </c>
    </row>
    <row r="43" spans="1:29" x14ac:dyDescent="0.3">
      <c r="C43" s="5" t="s">
        <v>55</v>
      </c>
      <c r="D43" s="5">
        <v>35</v>
      </c>
      <c r="E43" s="5">
        <v>783</v>
      </c>
      <c r="F43" s="5">
        <v>12</v>
      </c>
      <c r="G43" s="5">
        <v>0</v>
      </c>
      <c r="H43" s="5">
        <v>16.63</v>
      </c>
      <c r="I43" s="2"/>
      <c r="J43" s="11">
        <f t="shared" si="25"/>
        <v>0.73120328301333826</v>
      </c>
      <c r="K43" s="37">
        <v>2</v>
      </c>
      <c r="L43" s="11">
        <f t="shared" si="0"/>
        <v>0.32748086794948511</v>
      </c>
      <c r="M43" s="5">
        <v>20.797000000000001</v>
      </c>
      <c r="N43" s="5">
        <v>63.506</v>
      </c>
    </row>
    <row r="44" spans="1:29" x14ac:dyDescent="0.3">
      <c r="C44" s="28" t="s">
        <v>56</v>
      </c>
      <c r="D44" s="28">
        <v>29</v>
      </c>
      <c r="E44" s="28">
        <v>268</v>
      </c>
      <c r="F44" s="28">
        <v>30</v>
      </c>
      <c r="G44" s="28">
        <v>0</v>
      </c>
      <c r="H44" s="28">
        <v>2.37</v>
      </c>
      <c r="I44" s="29"/>
      <c r="J44" s="30">
        <v>0</v>
      </c>
      <c r="K44" s="40">
        <v>3</v>
      </c>
      <c r="L44" s="30">
        <f t="shared" si="0"/>
        <v>-0.14773950745414513</v>
      </c>
      <c r="M44" s="28">
        <v>30.463000000000001</v>
      </c>
      <c r="N44" s="28">
        <v>-206.19399999999999</v>
      </c>
    </row>
    <row r="45" spans="1:29" x14ac:dyDescent="0.3">
      <c r="C45" s="22" t="s">
        <v>57</v>
      </c>
      <c r="D45" s="22">
        <v>16</v>
      </c>
      <c r="E45" s="22">
        <v>211</v>
      </c>
      <c r="F45" s="22">
        <v>27</v>
      </c>
      <c r="G45" s="22">
        <v>136.57</v>
      </c>
      <c r="H45" s="22">
        <v>223.1</v>
      </c>
      <c r="I45" s="23">
        <f>AVERAGE(H45:H48)</f>
        <v>116.2675</v>
      </c>
      <c r="J45" s="25">
        <f>H45/116.2675</f>
        <v>1.9188509256671038</v>
      </c>
      <c r="K45" s="38"/>
      <c r="L45" s="25">
        <f t="shared" si="0"/>
        <v>-0.10429280760931051</v>
      </c>
      <c r="M45" s="22">
        <v>19.911999999999999</v>
      </c>
      <c r="N45" s="22">
        <v>-190.92400000000001</v>
      </c>
      <c r="O45" s="23" t="s">
        <v>65</v>
      </c>
    </row>
    <row r="46" spans="1:29" x14ac:dyDescent="0.3">
      <c r="C46" s="4" t="s">
        <v>58</v>
      </c>
      <c r="D46" s="4">
        <v>23</v>
      </c>
      <c r="E46" s="4">
        <v>189</v>
      </c>
      <c r="F46" s="4">
        <v>40</v>
      </c>
      <c r="G46" s="4">
        <v>16.47</v>
      </c>
      <c r="H46" s="4">
        <v>46.16</v>
      </c>
      <c r="J46" s="10">
        <f t="shared" ref="J46:J47" si="26">H46/116.2675</f>
        <v>0.39701550304255273</v>
      </c>
      <c r="K46" s="36">
        <v>4</v>
      </c>
      <c r="L46" s="10">
        <f t="shared" si="0"/>
        <v>-0.89694935244618845</v>
      </c>
      <c r="M46" s="4">
        <v>197.72800000000001</v>
      </c>
      <c r="N46" s="4">
        <v>-220.44499999999999</v>
      </c>
    </row>
    <row r="47" spans="1:29" x14ac:dyDescent="0.3">
      <c r="C47" s="4" t="s">
        <v>59</v>
      </c>
      <c r="D47" s="4">
        <v>23</v>
      </c>
      <c r="E47" s="4">
        <v>195</v>
      </c>
      <c r="F47" s="4">
        <v>25</v>
      </c>
      <c r="G47" s="4">
        <v>84.49</v>
      </c>
      <c r="H47" s="4">
        <v>146.5</v>
      </c>
      <c r="J47" s="10">
        <f t="shared" si="26"/>
        <v>1.2600253725245663</v>
      </c>
      <c r="K47" s="36">
        <v>1</v>
      </c>
      <c r="L47" s="10">
        <f t="shared" si="0"/>
        <v>1</v>
      </c>
      <c r="M47" s="4">
        <v>135.20400000000001</v>
      </c>
      <c r="N47" s="4">
        <v>135.20400000000001</v>
      </c>
    </row>
    <row r="48" spans="1:29" x14ac:dyDescent="0.3">
      <c r="A48" s="2"/>
      <c r="B48" s="2"/>
      <c r="C48" s="26" t="s">
        <v>60</v>
      </c>
      <c r="D48" s="26">
        <v>25</v>
      </c>
      <c r="E48" s="26">
        <v>122</v>
      </c>
      <c r="F48" s="26">
        <v>57</v>
      </c>
      <c r="G48" s="26">
        <v>26</v>
      </c>
      <c r="H48" s="26">
        <v>49.31</v>
      </c>
      <c r="I48" s="26"/>
      <c r="J48" s="27">
        <f>H48/116.2675</f>
        <v>0.42410819876577721</v>
      </c>
      <c r="K48" s="39"/>
      <c r="L48" s="27">
        <f t="shared" si="0"/>
        <v>1</v>
      </c>
      <c r="M48" s="26">
        <v>144.22200000000001</v>
      </c>
      <c r="N48" s="26">
        <v>144.22200000000001</v>
      </c>
      <c r="O48" s="23" t="s">
        <v>65</v>
      </c>
    </row>
    <row r="49" spans="1:105" x14ac:dyDescent="0.3">
      <c r="A49">
        <v>20230511</v>
      </c>
      <c r="B49" t="s">
        <v>66</v>
      </c>
      <c r="C49" s="4" t="s">
        <v>67</v>
      </c>
      <c r="D49" s="4">
        <v>26</v>
      </c>
      <c r="E49" s="4">
        <v>174</v>
      </c>
      <c r="F49" s="4">
        <v>57</v>
      </c>
      <c r="H49" s="4">
        <v>49.853000000000002</v>
      </c>
      <c r="I49">
        <f>AVERAGE(H49:H51)</f>
        <v>50.784766666666663</v>
      </c>
      <c r="J49" s="10">
        <f>H49/50.78477</f>
        <v>0.98165257024891517</v>
      </c>
      <c r="K49" s="36">
        <v>3</v>
      </c>
    </row>
    <row r="50" spans="1:105" x14ac:dyDescent="0.3">
      <c r="C50" s="4" t="s">
        <v>68</v>
      </c>
      <c r="D50" s="4">
        <v>25</v>
      </c>
      <c r="E50" s="4">
        <v>274</v>
      </c>
      <c r="F50" s="4">
        <v>35</v>
      </c>
      <c r="H50" s="4">
        <v>87.078400000000002</v>
      </c>
      <c r="J50" s="10">
        <f t="shared" ref="J50:J51" si="27">H50/50.78477</f>
        <v>1.7146557914902441</v>
      </c>
      <c r="K50" s="36">
        <v>4</v>
      </c>
    </row>
    <row r="51" spans="1:105" x14ac:dyDescent="0.3">
      <c r="C51" s="5" t="s">
        <v>69</v>
      </c>
      <c r="D51" s="5">
        <v>31</v>
      </c>
      <c r="E51" s="5">
        <v>394</v>
      </c>
      <c r="F51" s="5">
        <v>42</v>
      </c>
      <c r="G51" s="2"/>
      <c r="H51" s="5">
        <v>15.4229</v>
      </c>
      <c r="I51" s="2"/>
      <c r="J51" s="11">
        <f t="shared" si="27"/>
        <v>0.30369144135141302</v>
      </c>
      <c r="K51" s="37">
        <v>2</v>
      </c>
      <c r="L51" s="2"/>
      <c r="M51" s="2"/>
      <c r="N51" s="2"/>
    </row>
    <row r="52" spans="1:105" ht="15" thickBot="1" x14ac:dyDescent="0.35">
      <c r="C52" s="4" t="s">
        <v>76</v>
      </c>
      <c r="D52" s="4">
        <v>30</v>
      </c>
      <c r="E52" s="4">
        <v>249</v>
      </c>
      <c r="F52" s="4">
        <v>30</v>
      </c>
      <c r="H52" s="4">
        <v>5.2602000000000002</v>
      </c>
      <c r="I52">
        <f>AVERAGE(H52:H55)</f>
        <v>5.5231750000000002</v>
      </c>
      <c r="J52">
        <f>H52/5.523175</f>
        <v>0.95238698755697582</v>
      </c>
      <c r="K52" s="36">
        <v>3</v>
      </c>
    </row>
    <row r="53" spans="1:105" x14ac:dyDescent="0.3">
      <c r="C53" s="4" t="s">
        <v>77</v>
      </c>
      <c r="D53" s="4">
        <v>47</v>
      </c>
      <c r="E53" s="4">
        <v>332</v>
      </c>
      <c r="F53" s="4">
        <v>39</v>
      </c>
      <c r="H53" s="4">
        <v>0</v>
      </c>
      <c r="J53">
        <f t="shared" ref="J53:J54" si="28">H53/5.523175</f>
        <v>0</v>
      </c>
      <c r="K53" s="36">
        <v>4</v>
      </c>
      <c r="Q53" s="58" t="s">
        <v>116</v>
      </c>
      <c r="R53" s="59" t="s">
        <v>117</v>
      </c>
      <c r="S53" s="59">
        <v>-1.00443399942226</v>
      </c>
      <c r="T53" s="59">
        <v>4.8333333333333298E-2</v>
      </c>
      <c r="U53" s="59">
        <v>1.10110066608892</v>
      </c>
      <c r="V53" s="60">
        <v>0.99928371806879202</v>
      </c>
    </row>
    <row r="54" spans="1:105" x14ac:dyDescent="0.3">
      <c r="C54" s="4" t="s">
        <v>78</v>
      </c>
      <c r="D54" s="4">
        <v>17</v>
      </c>
      <c r="E54" s="4">
        <v>118</v>
      </c>
      <c r="F54" s="4">
        <v>40</v>
      </c>
      <c r="H54" s="4">
        <v>16.8325</v>
      </c>
      <c r="J54">
        <f t="shared" si="28"/>
        <v>3.0476130124430241</v>
      </c>
      <c r="K54" s="36">
        <v>1</v>
      </c>
      <c r="Q54" s="61" t="s">
        <v>116</v>
      </c>
      <c r="R54" s="41" t="s">
        <v>118</v>
      </c>
      <c r="S54" s="41">
        <v>-1.1402232211597301</v>
      </c>
      <c r="T54" s="41">
        <v>-0.118888888888889</v>
      </c>
      <c r="U54" s="41">
        <v>0.90244544338195298</v>
      </c>
      <c r="V54" s="62">
        <v>0.98872534093450903</v>
      </c>
    </row>
    <row r="55" spans="1:105" x14ac:dyDescent="0.3">
      <c r="A55" s="2"/>
      <c r="B55" s="2"/>
      <c r="C55" s="5" t="s">
        <v>79</v>
      </c>
      <c r="D55" s="5">
        <v>32</v>
      </c>
      <c r="E55" s="5">
        <v>483</v>
      </c>
      <c r="F55" s="5">
        <v>33</v>
      </c>
      <c r="G55" s="2"/>
      <c r="H55" s="5">
        <v>0</v>
      </c>
      <c r="I55" s="2"/>
      <c r="J55" s="2">
        <f>H55/5.523175</f>
        <v>0</v>
      </c>
      <c r="K55" s="37">
        <v>2</v>
      </c>
      <c r="L55" s="2"/>
      <c r="M55" s="2"/>
      <c r="N55" s="2"/>
      <c r="Q55" s="61" t="s">
        <v>116</v>
      </c>
      <c r="R55" s="41" t="s">
        <v>119</v>
      </c>
      <c r="S55" s="41">
        <v>-7.8518994868674599E-2</v>
      </c>
      <c r="T55" s="41">
        <v>1.0133333333333301</v>
      </c>
      <c r="U55" s="41">
        <v>2.1051856615353399</v>
      </c>
      <c r="V55" s="62">
        <v>7.63316009873828E-2</v>
      </c>
    </row>
    <row r="56" spans="1:105" x14ac:dyDescent="0.3">
      <c r="A56">
        <v>20230516</v>
      </c>
      <c r="B56" t="s">
        <v>80</v>
      </c>
      <c r="C56" s="22" t="s">
        <v>81</v>
      </c>
      <c r="D56" s="22">
        <v>20</v>
      </c>
      <c r="E56" s="22">
        <v>166</v>
      </c>
      <c r="F56" s="22">
        <v>40</v>
      </c>
      <c r="G56" s="23"/>
      <c r="H56" s="22">
        <v>44.613399999999999</v>
      </c>
      <c r="I56" s="23">
        <f>AVERAGE(H57:H59)</f>
        <v>11.7928</v>
      </c>
      <c r="J56" s="22">
        <f>H56/11.7928</f>
        <v>3.7831049453904075</v>
      </c>
      <c r="K56" s="38">
        <v>3</v>
      </c>
      <c r="L56" s="23"/>
      <c r="M56" s="23"/>
      <c r="N56" s="23"/>
      <c r="O56" s="23" t="s">
        <v>65</v>
      </c>
      <c r="Q56" s="61" t="s">
        <v>117</v>
      </c>
      <c r="R56" s="41" t="s">
        <v>118</v>
      </c>
      <c r="S56" s="41">
        <v>-1.2199895549778099</v>
      </c>
      <c r="T56" s="41">
        <v>-0.16722222222222199</v>
      </c>
      <c r="U56" s="41">
        <v>0.88554511053336904</v>
      </c>
      <c r="V56" s="62">
        <v>0.97234621706926605</v>
      </c>
    </row>
    <row r="57" spans="1:105" x14ac:dyDescent="0.3">
      <c r="C57" s="4" t="s">
        <v>82</v>
      </c>
      <c r="D57" s="4">
        <v>20</v>
      </c>
      <c r="E57" s="4">
        <v>186</v>
      </c>
      <c r="F57" s="4">
        <v>33</v>
      </c>
      <c r="H57" s="4">
        <v>22.663</v>
      </c>
      <c r="J57" s="4">
        <f t="shared" ref="J57:J59" si="29">H57/11.7928</f>
        <v>1.9217658232141646</v>
      </c>
      <c r="K57" s="36">
        <v>3</v>
      </c>
      <c r="Q57" s="61" t="s">
        <v>117</v>
      </c>
      <c r="R57" s="41" t="s">
        <v>119</v>
      </c>
      <c r="S57" s="41">
        <v>-0.15631028053895099</v>
      </c>
      <c r="T57" s="41">
        <v>0.96499999999999997</v>
      </c>
      <c r="U57" s="41">
        <v>2.08631028053895</v>
      </c>
      <c r="V57" s="62">
        <v>0.111180471128798</v>
      </c>
    </row>
    <row r="58" spans="1:105" ht="15" thickBot="1" x14ac:dyDescent="0.35">
      <c r="C58" s="4" t="s">
        <v>83</v>
      </c>
      <c r="D58" s="4">
        <v>36</v>
      </c>
      <c r="E58" s="4">
        <v>1057</v>
      </c>
      <c r="F58" s="4">
        <v>9</v>
      </c>
      <c r="H58" s="4">
        <v>0</v>
      </c>
      <c r="J58" s="4">
        <f>H58/11.7928</f>
        <v>0</v>
      </c>
      <c r="K58" s="36">
        <v>2</v>
      </c>
      <c r="Q58" s="63" t="s">
        <v>118</v>
      </c>
      <c r="R58" s="64" t="s">
        <v>119</v>
      </c>
      <c r="S58" s="64">
        <v>4.0369894020214202E-2</v>
      </c>
      <c r="T58" s="64">
        <v>1.13222222222222</v>
      </c>
      <c r="U58" s="64">
        <v>2.2240745504242301</v>
      </c>
      <c r="V58" s="65">
        <v>3.9900982821729401E-2</v>
      </c>
    </row>
    <row r="59" spans="1:105" s="2" customFormat="1" x14ac:dyDescent="0.3">
      <c r="A59" s="41"/>
      <c r="B59" s="41"/>
      <c r="C59" s="5" t="s">
        <v>84</v>
      </c>
      <c r="D59" s="5">
        <v>24</v>
      </c>
      <c r="E59" s="5">
        <v>228</v>
      </c>
      <c r="F59" s="5">
        <v>18</v>
      </c>
      <c r="H59" s="5">
        <v>12.715400000000001</v>
      </c>
      <c r="J59" s="5">
        <f t="shared" si="29"/>
        <v>1.0782341767858354</v>
      </c>
      <c r="K59" s="2">
        <v>1</v>
      </c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</row>
    <row r="60" spans="1:105" x14ac:dyDescent="0.3">
      <c r="C60" s="4" t="s">
        <v>85</v>
      </c>
      <c r="D60" s="4">
        <v>25</v>
      </c>
      <c r="E60" s="4">
        <v>226</v>
      </c>
      <c r="F60" s="4">
        <v>22</v>
      </c>
      <c r="H60" s="4">
        <v>19.0731</v>
      </c>
      <c r="I60">
        <f>AVERAGE(H60:H63)</f>
        <v>22.126199999999997</v>
      </c>
      <c r="J60" s="4">
        <f>H60/22.1262</f>
        <v>0.86201426363315881</v>
      </c>
      <c r="K60" s="36">
        <v>2</v>
      </c>
    </row>
    <row r="61" spans="1:105" x14ac:dyDescent="0.3">
      <c r="C61" s="4" t="s">
        <v>86</v>
      </c>
      <c r="D61" s="4">
        <v>28</v>
      </c>
      <c r="E61" s="4">
        <v>79</v>
      </c>
      <c r="F61" s="4">
        <v>58</v>
      </c>
      <c r="H61" s="4">
        <v>40</v>
      </c>
      <c r="J61" s="4">
        <f t="shared" ref="J61:J62" si="30">H61/22.1262</f>
        <v>1.8078115537236399</v>
      </c>
      <c r="K61" s="36">
        <v>1</v>
      </c>
    </row>
    <row r="62" spans="1:105" x14ac:dyDescent="0.3">
      <c r="C62" s="4" t="s">
        <v>87</v>
      </c>
      <c r="D62" s="4">
        <v>28</v>
      </c>
      <c r="E62" s="4">
        <v>211</v>
      </c>
      <c r="F62" s="4">
        <v>33</v>
      </c>
      <c r="H62" s="4">
        <v>0</v>
      </c>
      <c r="J62" s="4">
        <f t="shared" si="30"/>
        <v>0</v>
      </c>
      <c r="K62" s="36">
        <v>4</v>
      </c>
    </row>
    <row r="63" spans="1:105" x14ac:dyDescent="0.3">
      <c r="C63" s="5" t="s">
        <v>88</v>
      </c>
      <c r="D63" s="5">
        <v>32</v>
      </c>
      <c r="E63" s="5">
        <v>394</v>
      </c>
      <c r="F63" s="5">
        <v>34</v>
      </c>
      <c r="G63" s="2"/>
      <c r="H63" s="5">
        <v>29.431699999999999</v>
      </c>
      <c r="I63" s="2"/>
      <c r="J63" s="5">
        <f>H63/22.1262</f>
        <v>1.3301741826432012</v>
      </c>
      <c r="K63" s="2">
        <v>3</v>
      </c>
      <c r="L63" s="2"/>
      <c r="M63" s="2"/>
      <c r="N63" s="2"/>
    </row>
    <row r="64" spans="1:105" x14ac:dyDescent="0.3">
      <c r="C64" s="4" t="s">
        <v>89</v>
      </c>
      <c r="D64" s="4">
        <v>17</v>
      </c>
      <c r="E64" s="4">
        <v>320</v>
      </c>
      <c r="F64" s="4">
        <v>43</v>
      </c>
      <c r="H64" s="4">
        <v>17.8399</v>
      </c>
      <c r="I64">
        <f>AVERAGE(H64:H67)</f>
        <v>8.0635750000000002</v>
      </c>
      <c r="J64" s="4">
        <f>H64/8.063575</f>
        <v>2.2124057877554311</v>
      </c>
      <c r="K64" s="36">
        <v>3</v>
      </c>
    </row>
    <row r="65" spans="1:25" x14ac:dyDescent="0.3">
      <c r="C65" s="4" t="s">
        <v>90</v>
      </c>
      <c r="D65" s="4">
        <v>29</v>
      </c>
      <c r="E65" s="4">
        <v>398</v>
      </c>
      <c r="F65" s="4">
        <v>26</v>
      </c>
      <c r="H65" s="4">
        <v>0</v>
      </c>
      <c r="J65" s="4">
        <f t="shared" ref="J65:J67" si="31">H65/8.063575</f>
        <v>0</v>
      </c>
      <c r="K65" s="36">
        <v>4</v>
      </c>
    </row>
    <row r="66" spans="1:25" x14ac:dyDescent="0.3">
      <c r="C66" s="4" t="s">
        <v>91</v>
      </c>
      <c r="D66" s="4">
        <v>24</v>
      </c>
      <c r="E66" s="4">
        <v>616</v>
      </c>
      <c r="F66" s="4">
        <v>22</v>
      </c>
      <c r="H66" s="4">
        <v>14.414400000000001</v>
      </c>
      <c r="J66" s="4">
        <f>H66/8.063575</f>
        <v>1.7875942122445689</v>
      </c>
      <c r="K66" s="36">
        <v>2</v>
      </c>
    </row>
    <row r="67" spans="1:25" x14ac:dyDescent="0.3">
      <c r="A67" s="2"/>
      <c r="B67" s="2"/>
      <c r="C67" s="5" t="s">
        <v>92</v>
      </c>
      <c r="D67" s="5">
        <v>22</v>
      </c>
      <c r="E67" s="5">
        <v>330</v>
      </c>
      <c r="F67" s="5">
        <v>53</v>
      </c>
      <c r="G67" s="2"/>
      <c r="H67" s="5">
        <v>0</v>
      </c>
      <c r="I67" s="2"/>
      <c r="J67" s="5">
        <f t="shared" si="31"/>
        <v>0</v>
      </c>
      <c r="K67" s="2">
        <v>1</v>
      </c>
      <c r="L67" s="2"/>
      <c r="M67" s="2"/>
      <c r="N67" s="2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>
        <v>20230517</v>
      </c>
      <c r="B68" t="s">
        <v>93</v>
      </c>
      <c r="C68" s="45" t="s">
        <v>94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C69" s="4" t="s">
        <v>95</v>
      </c>
      <c r="D69" s="4">
        <v>17</v>
      </c>
      <c r="E69" s="4">
        <v>204</v>
      </c>
      <c r="F69" s="4">
        <v>31</v>
      </c>
      <c r="H69" s="4">
        <v>77.772000000000006</v>
      </c>
      <c r="I69">
        <f>AVERAGE(H69:H72)</f>
        <v>31.678800000000003</v>
      </c>
      <c r="J69">
        <f>H69/31.6788</f>
        <v>2.4550172355013449</v>
      </c>
      <c r="K69" s="36">
        <v>3</v>
      </c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C70" s="4" t="s">
        <v>96</v>
      </c>
      <c r="D70" s="4">
        <v>24</v>
      </c>
      <c r="E70" s="4">
        <v>298</v>
      </c>
      <c r="F70" s="4">
        <v>31</v>
      </c>
      <c r="H70" s="4">
        <v>48.943199999999997</v>
      </c>
      <c r="J70">
        <f>H70/31.6788</f>
        <v>1.5449827644986551</v>
      </c>
      <c r="K70" s="36">
        <v>2</v>
      </c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C71" s="4" t="s">
        <v>97</v>
      </c>
      <c r="D71" s="4">
        <v>10</v>
      </c>
      <c r="E71" s="4">
        <v>49</v>
      </c>
      <c r="F71" s="4">
        <v>74</v>
      </c>
      <c r="H71" s="4">
        <v>0</v>
      </c>
      <c r="J71">
        <f t="shared" ref="J71:J72" si="32">H71/31.6788</f>
        <v>0</v>
      </c>
      <c r="K71" s="36">
        <v>1</v>
      </c>
      <c r="P71" s="1"/>
      <c r="Q71" s="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C72" s="5" t="s">
        <v>98</v>
      </c>
      <c r="D72" s="5">
        <v>18</v>
      </c>
      <c r="E72" s="5">
        <v>299</v>
      </c>
      <c r="F72" s="5">
        <v>29</v>
      </c>
      <c r="G72" s="2"/>
      <c r="H72" s="5">
        <v>0</v>
      </c>
      <c r="I72" s="2"/>
      <c r="J72" s="2">
        <f t="shared" si="32"/>
        <v>0</v>
      </c>
      <c r="K72" s="2">
        <v>4</v>
      </c>
      <c r="L72" s="2"/>
      <c r="M72" s="2"/>
      <c r="N72" s="2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C73" s="45" t="s">
        <v>94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2"/>
      <c r="B74" s="2"/>
      <c r="C74" s="5" t="s">
        <v>94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>
        <v>20230518</v>
      </c>
      <c r="B75" t="s">
        <v>99</v>
      </c>
      <c r="C75" s="4" t="s">
        <v>100</v>
      </c>
      <c r="D75" s="4">
        <v>27</v>
      </c>
      <c r="E75" s="4">
        <v>238</v>
      </c>
      <c r="F75" s="4">
        <v>42</v>
      </c>
      <c r="H75" s="4">
        <v>23.046600000000002</v>
      </c>
      <c r="I75">
        <f>AVERAGE(H75:H78)</f>
        <v>20.518599999999999</v>
      </c>
      <c r="J75">
        <f>H75/20.5186</f>
        <v>1.1232052869104132</v>
      </c>
      <c r="K75" s="4">
        <v>3</v>
      </c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C76" s="4" t="s">
        <v>101</v>
      </c>
      <c r="D76" s="4">
        <v>28</v>
      </c>
      <c r="E76" s="4">
        <v>166</v>
      </c>
      <c r="F76" s="4">
        <v>33</v>
      </c>
      <c r="H76" s="4">
        <v>24.581199999999999</v>
      </c>
      <c r="J76">
        <f t="shared" ref="J76:J78" si="33">H76/20.5186</f>
        <v>1.1979959646369636</v>
      </c>
      <c r="K76" s="4">
        <v>2</v>
      </c>
      <c r="R76" s="41"/>
      <c r="S76" s="41"/>
      <c r="T76" s="41"/>
      <c r="U76" s="41"/>
      <c r="V76" s="41"/>
      <c r="W76" s="41"/>
      <c r="X76" s="41"/>
      <c r="Y76" s="41"/>
    </row>
    <row r="77" spans="1:25" x14ac:dyDescent="0.3">
      <c r="C77" s="4" t="s">
        <v>102</v>
      </c>
      <c r="D77" s="4">
        <v>18</v>
      </c>
      <c r="E77" s="4">
        <v>131</v>
      </c>
      <c r="F77" s="4">
        <v>63</v>
      </c>
      <c r="H77" s="4">
        <v>24.581199999999999</v>
      </c>
      <c r="J77">
        <f t="shared" si="33"/>
        <v>1.1979959646369636</v>
      </c>
      <c r="K77" s="4">
        <v>1</v>
      </c>
      <c r="R77" s="41"/>
      <c r="S77" s="41"/>
      <c r="T77" s="41"/>
      <c r="U77" s="41"/>
      <c r="V77" s="41"/>
      <c r="W77" s="41"/>
      <c r="X77" s="41"/>
      <c r="Y77" s="41"/>
    </row>
    <row r="78" spans="1:25" x14ac:dyDescent="0.3">
      <c r="C78" s="5" t="s">
        <v>103</v>
      </c>
      <c r="D78" s="5">
        <v>29</v>
      </c>
      <c r="E78" s="5">
        <v>264</v>
      </c>
      <c r="F78" s="5">
        <v>31</v>
      </c>
      <c r="G78" s="2"/>
      <c r="H78" s="5">
        <v>9.8653999999999993</v>
      </c>
      <c r="I78" s="2"/>
      <c r="J78" s="2">
        <f t="shared" si="33"/>
        <v>0.48080278381565994</v>
      </c>
      <c r="K78" s="5">
        <v>4</v>
      </c>
      <c r="L78" s="2"/>
      <c r="M78" s="2"/>
      <c r="N78" s="2"/>
      <c r="R78" s="41"/>
      <c r="S78" s="41"/>
      <c r="T78" s="41"/>
      <c r="U78" s="41"/>
      <c r="V78" s="41"/>
      <c r="W78" s="41"/>
      <c r="X78" s="41"/>
      <c r="Y78" s="41"/>
    </row>
    <row r="79" spans="1:25" x14ac:dyDescent="0.3">
      <c r="C79" s="4" t="s">
        <v>104</v>
      </c>
      <c r="D79" s="4">
        <v>27</v>
      </c>
      <c r="E79" s="4">
        <v>222</v>
      </c>
      <c r="F79" s="4">
        <v>38</v>
      </c>
      <c r="H79" s="4">
        <v>34.651200000000003</v>
      </c>
      <c r="I79">
        <f>AVERAGE(H79:H82)</f>
        <v>102.260575</v>
      </c>
      <c r="J79" s="4">
        <f>H79/102.260575</f>
        <v>0.33885199648055964</v>
      </c>
      <c r="K79" s="4">
        <v>3</v>
      </c>
      <c r="R79" s="41"/>
      <c r="S79" s="41"/>
      <c r="T79" s="41"/>
      <c r="U79" s="41"/>
      <c r="V79" s="41"/>
      <c r="W79" s="41"/>
      <c r="X79" s="41"/>
      <c r="Y79" s="41"/>
    </row>
    <row r="80" spans="1:25" x14ac:dyDescent="0.3">
      <c r="C80" s="4" t="s">
        <v>105</v>
      </c>
      <c r="D80" s="4">
        <v>24</v>
      </c>
      <c r="E80" s="4">
        <v>266</v>
      </c>
      <c r="F80" s="4">
        <v>31</v>
      </c>
      <c r="H80" s="4">
        <v>10.454499999999999</v>
      </c>
      <c r="J80" s="4">
        <f t="shared" ref="J80:J82" si="34">H80/102.260575</f>
        <v>0.10223392543998505</v>
      </c>
      <c r="K80" s="4">
        <v>4</v>
      </c>
      <c r="R80" s="41"/>
      <c r="S80" s="41"/>
      <c r="T80" s="41"/>
      <c r="U80" s="41"/>
      <c r="V80" s="41"/>
      <c r="W80" s="41"/>
      <c r="X80" s="41"/>
      <c r="Y80" s="41"/>
    </row>
    <row r="81" spans="3:25" x14ac:dyDescent="0.3">
      <c r="C81" s="4" t="s">
        <v>106</v>
      </c>
      <c r="D81" s="4">
        <v>37</v>
      </c>
      <c r="E81" s="4">
        <v>139</v>
      </c>
      <c r="F81" s="4">
        <v>92</v>
      </c>
      <c r="H81" s="4">
        <v>278.16329999999999</v>
      </c>
      <c r="J81" s="4">
        <f>H81/102.260575</f>
        <v>2.7201421466679605</v>
      </c>
      <c r="K81" s="4">
        <v>2</v>
      </c>
      <c r="R81" s="41"/>
      <c r="S81" s="41"/>
      <c r="T81" s="41"/>
      <c r="U81" s="41"/>
      <c r="V81" s="41"/>
      <c r="W81" s="41"/>
      <c r="X81" s="41"/>
      <c r="Y81" s="41"/>
    </row>
    <row r="82" spans="3:25" x14ac:dyDescent="0.3">
      <c r="C82" s="4" t="s">
        <v>107</v>
      </c>
      <c r="D82" s="4">
        <v>31</v>
      </c>
      <c r="E82" s="4">
        <v>642</v>
      </c>
      <c r="F82" s="4">
        <v>27</v>
      </c>
      <c r="H82" s="4">
        <v>85.773300000000006</v>
      </c>
      <c r="J82" s="4">
        <f t="shared" si="34"/>
        <v>0.83877193141149464</v>
      </c>
      <c r="K82" s="4">
        <v>1</v>
      </c>
      <c r="P82" s="1"/>
    </row>
    <row r="83" spans="3:25" x14ac:dyDescent="0.3">
      <c r="P8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2023-03-27T07:47:04Z</dcterms:created>
  <dcterms:modified xsi:type="dcterms:W3CDTF">2025-01-03T20:04:58Z</dcterms:modified>
</cp:coreProperties>
</file>